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552ebdad7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ver" sheetId="1" r:id="R295f2218b82d489c"/>
    <x:sheet xmlns:r="http://schemas.openxmlformats.org/officeDocument/2006/relationships" name="Sources" sheetId="2" r:id="R024e6ec77e664837"/>
    <x:sheet xmlns:r="http://schemas.openxmlformats.org/officeDocument/2006/relationships" name="Drivers" sheetId="3" r:id="R98aae32e9cb14aec"/>
    <x:sheet xmlns:r="http://schemas.openxmlformats.org/officeDocument/2006/relationships" name="Scenarios" sheetId="4" r:id="R8265b2bdc4de4d33"/>
    <x:sheet xmlns:r="http://schemas.openxmlformats.org/officeDocument/2006/relationships" name="WACC" sheetId="5" r:id="Re9c618e03e354397"/>
    <x:sheet xmlns:r="http://schemas.openxmlformats.org/officeDocument/2006/relationships" name="Share Bridge" sheetId="6" r:id="R5ebe8a4589bb4d7e"/>
    <x:sheet xmlns:r="http://schemas.openxmlformats.org/officeDocument/2006/relationships" name="Revenue" sheetId="7" r:id="R2731e1334d154f52"/>
    <x:sheet xmlns:r="http://schemas.openxmlformats.org/officeDocument/2006/relationships" name="Depreciation" sheetId="8" r:id="Rf244b2aa23f843dc"/>
    <x:sheet xmlns:r="http://schemas.openxmlformats.org/officeDocument/2006/relationships" name="Valuation" sheetId="9" r:id="Rbb9d96ae7bb843ea"/>
    <x:sheet xmlns:r="http://schemas.openxmlformats.org/officeDocument/2006/relationships" name="Variant" sheetId="10" r:id="R46ba4b25c688494c"/>
    <x:sheet xmlns:r="http://schemas.openxmlformats.org/officeDocument/2006/relationships" name="Sensitivities" sheetId="11" r:id="R222e1dd9445d4c92"/>
    <x:sheet xmlns:r="http://schemas.openxmlformats.org/officeDocument/2006/relationships" name="Decision" sheetId="12" r:id="Rddacd6af0e9d4e65"/>
    <x:sheet xmlns:r="http://schemas.openxmlformats.org/officeDocument/2006/relationships" name="Checks" sheetId="13" r:id="Rc10000bd06e44f50"/>
    <x:sheet xmlns:r="http://schemas.openxmlformats.org/officeDocument/2006/relationships" name="Notes" sheetId="14" r:id="R50cda688741b47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0">
    <x:numFmt numFmtId="164" formatCode="0.0%;[Red](0.0%);-"/>
    <x:numFmt numFmtId="165" formatCode="$#,##0.00;[Red]($#,##0.00);-"/>
    <x:numFmt numFmtId="166" formatCode="0.00%;[Red](0.00%);-"/>
    <x:numFmt numFmtId="167" formatCode="$#,##0.0,,,;[Red]($#,##0.0,,,);-"/>
    <x:numFmt numFmtId="168" formatCode="yyyy-mm-dd"/>
    <x:numFmt numFmtId="169" formatCode="0.00x"/>
    <x:numFmt numFmtId="170" formatCode="0.0x"/>
    <x:numFmt numFmtId="171" formatCode="#,##0,,"/>
    <x:numFmt numFmtId="172" formatCode="0.0"/>
    <x:numFmt numFmtId="173" formatCode="0.0000"/>
  </x:numFmts>
  <x:fonts count="7">
    <x:font>
      <x:sz val="11"/>
      <x:color theme="1"/>
      <x:name val="Calibri"/>
    </x:font>
    <x:font>
      <x:b/>
      <x:sz val="15"/>
      <x:color rgb="FF13213C"/>
    </x:font>
    <x:font>
      <x:i/>
      <x:sz val="9"/>
      <x:color rgb="FF667085"/>
    </x:font>
    <x:font>
      <x:b/>
    </x:font>
    <x:font>
      <x:b/>
      <x:color rgb="FFFFFFFF"/>
    </x:font>
    <x:font>
      <x:color rgb="FF0000FF"/>
    </x:font>
    <x:font/>
  </x:fonts>
  <x:fills count="6">
    <x:fill>
      <x:patternFill patternType="none"/>
    </x:fill>
    <x:fill>
      <x:patternFill patternType="gray125"/>
    </x:fill>
    <x:fill>
      <x:patternFill patternType="solid">
        <x:fgColor rgb="FFF2F4F7"/>
      </x:patternFill>
    </x:fill>
    <x:fill>
      <x:patternFill patternType="solid">
        <x:fgColor rgb="FF13213C"/>
      </x:patternFill>
    </x:fill>
    <x:fill>
      <x:patternFill patternType="solid">
        <x:fgColor rgb="FFDCE9F7"/>
      </x:patternFill>
    </x:fill>
    <x:fill>
      <x:patternFill patternType="solid">
        <x:fgColor rgb="FFE7F4EC"/>
      </x:patternFill>
    </x:fill>
  </x:fills>
  <x:borders count="1">
    <x:border/>
  </x:borders>
  <x:cellStyleXfs count="1">
    <x:xf numFmtId="0" fontId="0" fillId="0" borderId="0"/>
  </x:cellStyleXfs>
  <x:cellXfs count="33">
    <x:xf numFmtId="0" fontId="0" fillId="0" borderId="0" xfId="0"/>
    <x:xf numFmtId="0" fontId="1" fillId="0" borderId="0" xfId="0" applyAlignment="1">
      <x:alignment vertical="top"/>
    </x:xf>
    <x:xf numFmtId="0" fontId="0" fillId="0" borderId="0" xfId="0" applyAlignment="1">
      <x:alignment vertical="top"/>
    </x:xf>
    <x:xf numFmtId="0" fontId="2" fillId="0" borderId="0" xfId="0" applyAlignment="1">
      <x:alignment vertical="top"/>
    </x:xf>
    <x:xf numFmtId="0" fontId="3" fillId="0" borderId="0" xfId="0" applyAlignment="1">
      <x:alignment vertical="top"/>
    </x:xf>
    <x:xf numFmtId="164" fontId="0" fillId="0" borderId="0" xfId="0" applyAlignment="1">
      <x:alignment vertical="top"/>
    </x:xf>
    <x:xf numFmtId="0" fontId="3" fillId="2" borderId="0" xfId="0" applyAlignment="1">
      <x:alignment vertical="top"/>
    </x:xf>
    <x:xf numFmtId="165" fontId="3" fillId="2" borderId="0" xfId="0" applyAlignment="1">
      <x:alignment vertical="top"/>
    </x:xf>
    <x:xf numFmtId="166" fontId="3" fillId="2" borderId="0" xfId="0" applyAlignment="1">
      <x:alignment vertical="top"/>
    </x:xf>
    <x:xf numFmtId="164" fontId="3" fillId="2" borderId="0" xfId="0" applyAlignment="1">
      <x:alignment vertical="top"/>
    </x:xf>
    <x:xf numFmtId="0" fontId="0" fillId="0" borderId="0" xfId="0" applyAlignment="1">
      <x:alignment vertical="top" wrapText="1"/>
    </x:xf>
    <x:xf numFmtId="0" fontId="4" fillId="3" borderId="0" xfId="0" applyAlignment="1">
      <x:alignment horizontal="left" vertical="top" wrapText="1"/>
    </x:xf>
    <x:xf numFmtId="0" fontId="4" fillId="3" borderId="0" xfId="0" applyAlignment="1">
      <x:alignment horizontal="center" vertical="top" wrapText="1"/>
    </x:xf>
    <x:xf numFmtId="167" fontId="5" fillId="4" borderId="0" xfId="0" applyAlignment="1">
      <x:alignment vertical="top"/>
    </x:xf>
    <x:xf numFmtId="167" fontId="6" fillId="2" borderId="0" xfId="0" applyAlignment="1">
      <x:alignment vertical="top"/>
    </x:xf>
    <x:xf numFmtId="164" fontId="5" fillId="4" borderId="0" xfId="0" applyAlignment="1">
      <x:alignment vertical="top"/>
    </x:xf>
    <x:xf numFmtId="165" fontId="5" fillId="4" borderId="0" xfId="0" applyAlignment="1">
      <x:alignment vertical="top"/>
    </x:xf>
    <x:xf numFmtId="168" fontId="5" fillId="4" borderId="0" xfId="0" applyAlignment="1">
      <x:alignment vertical="top"/>
    </x:xf>
    <x:xf numFmtId="169" fontId="5" fillId="4" borderId="0" xfId="0" applyAlignment="1">
      <x:alignment vertical="top"/>
    </x:xf>
    <x:xf numFmtId="170" fontId="5" fillId="4" borderId="0" xfId="0" applyAlignment="1">
      <x:alignment vertical="top"/>
    </x:xf>
    <x:xf numFmtId="165" fontId="0" fillId="0" borderId="0" xfId="0" applyAlignment="1">
      <x:alignment vertical="top"/>
    </x:xf>
    <x:xf numFmtId="0" fontId="6" fillId="0" borderId="0" xfId="0" applyAlignment="1">
      <x:alignment vertical="top"/>
    </x:xf>
    <x:xf numFmtId="166" fontId="5" fillId="4" borderId="0" xfId="0" applyAlignment="1">
      <x:alignment vertical="top"/>
    </x:xf>
    <x:xf numFmtId="166" fontId="6" fillId="2" borderId="0" xfId="0" applyAlignment="1">
      <x:alignment vertical="top"/>
    </x:xf>
    <x:xf numFmtId="164" fontId="6" fillId="2" borderId="0" xfId="0" applyAlignment="1">
      <x:alignment vertical="top"/>
    </x:xf>
    <x:xf numFmtId="171" fontId="5" fillId="4" borderId="0" xfId="0" applyAlignment="1">
      <x:alignment vertical="top"/>
    </x:xf>
    <x:xf numFmtId="171" fontId="3" fillId="2" borderId="0" xfId="0" applyAlignment="1">
      <x:alignment vertical="top"/>
    </x:xf>
    <x:xf numFmtId="167" fontId="3" fillId="2" borderId="0" xfId="0" applyAlignment="1">
      <x:alignment vertical="top"/>
    </x:xf>
    <x:xf numFmtId="172" fontId="5" fillId="4" borderId="0" xfId="0" applyAlignment="1">
      <x:alignment vertical="top"/>
    </x:xf>
    <x:xf numFmtId="1" fontId="5" fillId="4" borderId="0" xfId="0" applyAlignment="1">
      <x:alignment vertical="top"/>
    </x:xf>
    <x:xf numFmtId="173" fontId="6" fillId="2" borderId="0" xfId="0" applyAlignment="1">
      <x:alignment vertical="top"/>
    </x:xf>
    <x:xf numFmtId="165" fontId="6" fillId="2" borderId="0" xfId="0" applyAlignment="1">
      <x:alignment vertical="top"/>
    </x:xf>
    <x:xf numFmtId="0" fontId="0" fillId="5" borderId="0" xfId="0" applyAlignment="1">
      <x:alignment vertical="top"/>
    </x:xf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729d192e894e7c" /><Relationship Type="http://schemas.openxmlformats.org/officeDocument/2006/relationships/theme" Target="/xl/theme/theme1.xml" Id="R1a32e95c1ef04a86" /><Relationship Type="http://schemas.openxmlformats.org/officeDocument/2006/relationships/sharedStrings" Target="/xl/sharedStrings.xml" Id="R8757702ea0fb49ea" /><Relationship Type="http://schemas.openxmlformats.org/officeDocument/2006/relationships/worksheet" Target="/xl/worksheets/sheet1.xml" Id="R295f2218b82d489c" /><Relationship Type="http://schemas.openxmlformats.org/officeDocument/2006/relationships/worksheet" Target="/xl/worksheets/sheet2.xml" Id="R024e6ec77e664837" /><Relationship Type="http://schemas.openxmlformats.org/officeDocument/2006/relationships/worksheet" Target="/xl/worksheets/sheet3.xml" Id="R98aae32e9cb14aec" /><Relationship Type="http://schemas.openxmlformats.org/officeDocument/2006/relationships/worksheet" Target="/xl/worksheets/sheet4.xml" Id="R8265b2bdc4de4d33" /><Relationship Type="http://schemas.openxmlformats.org/officeDocument/2006/relationships/worksheet" Target="/xl/worksheets/sheet5.xml" Id="Re9c618e03e354397" /><Relationship Type="http://schemas.openxmlformats.org/officeDocument/2006/relationships/worksheet" Target="/xl/worksheets/sheet6.xml" Id="R5ebe8a4589bb4d7e" /><Relationship Type="http://schemas.openxmlformats.org/officeDocument/2006/relationships/worksheet" Target="/xl/worksheets/sheet7.xml" Id="R2731e1334d154f52" /><Relationship Type="http://schemas.openxmlformats.org/officeDocument/2006/relationships/worksheet" Target="/xl/worksheets/sheet8.xml" Id="Rf244b2aa23f843dc" /><Relationship Type="http://schemas.openxmlformats.org/officeDocument/2006/relationships/worksheet" Target="/xl/worksheets/sheet9.xml" Id="Rbb9d96ae7bb843ea" /><Relationship Type="http://schemas.openxmlformats.org/officeDocument/2006/relationships/worksheet" Target="/xl/worksheets/sheet10.xml" Id="R46ba4b25c688494c" /><Relationship Type="http://schemas.openxmlformats.org/officeDocument/2006/relationships/worksheet" Target="/xl/worksheets/sheet11.xml" Id="R222e1dd9445d4c92" /><Relationship Type="http://schemas.openxmlformats.org/officeDocument/2006/relationships/worksheet" Target="/xl/worksheets/sheet12.xml" Id="Rddacd6af0e9d4e65" /><Relationship Type="http://schemas.openxmlformats.org/officeDocument/2006/relationships/worksheet" Target="/xl/worksheets/sheet13.xml" Id="Rc10000bd06e44f50" /><Relationship Type="http://schemas.openxmlformats.org/officeDocument/2006/relationships/worksheet" Target="/xl/worksheets/sheet14.xml" Id="R50cda688741b470f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hyperlink" Target="https://www.sec.gov/Archives/edgar/data/1652044/000165204426000071/goog-20260630.htm" TargetMode="External" Id="Rb51fac7a7d2746d1" /><Relationship Type="http://schemas.openxmlformats.org/officeDocument/2006/relationships/hyperlink" Target="https://www.sec.gov/Archives/edgar/data/1652044/000165204426000066/googexhibit991q22026.htm" TargetMode="External" Id="R2682c2ec92f04eec" /><Relationship Type="http://schemas.openxmlformats.org/officeDocument/2006/relationships/hyperlink" Target="https://alphabet2025ir.q4web.com/investor/events/event-details/2026/2026-Q2-Earnings-Call-2026-GgTAq7Is0z/default.aspx" TargetMode="External" Id="R8fb59e1191ed4921" /><Relationship Type="http://schemas.openxmlformats.org/officeDocument/2006/relationships/hyperlink" Target="https://www.sec.gov/Archives/edgar/data/1652044/000165204426000018/goog-20251231.htm" TargetMode="External" Id="Rc1eebe1a573e435f" /><Relationship Type="http://schemas.openxmlformats.org/officeDocument/2006/relationships/hyperlink" Target="https://robinhood.com/stocks/GOOGL" TargetMode="External" Id="Rbde929e615354468" /><Relationship Type="http://schemas.openxmlformats.org/officeDocument/2006/relationships/hyperlink" Target="https://home.treasury.gov/resource-center/data-chart-center/interest-rates/TextView?type=daily_treasury_yield_curve&amp;field_tdr_date_value=2026" TargetMode="External" Id="R6c6f557b34dd4526" /><Relationship Type="http://schemas.openxmlformats.org/officeDocument/2006/relationships/hyperlink" Target="https://financialmodelingprep.com/developer/docs" TargetMode="External" Id="R73ec5ff527eb49ab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4" customWidth="1"/>
    <x:col min="2" max="2" width="22" customWidth="1"/>
    <x:col min="3" max="3" width="22" customWidth="1"/>
    <x:col min="4" max="4" width="58" customWidth="1"/>
  </x:cols>
  <x:sheetData>
    <x:row r="1">
      <x:c r="A1" s="1" t="inlineStr">
        <x:is>
          <x:t xml:space="preserve">Alphabet (GOOGL) — PM readiness model</x:t>
        </x:is>
      </x:c>
      <x:c r="B1" s="2" t="n"/>
      <x:c r="C1" s="2" t="n"/>
      <x:c r="D1" s="2" t="n"/>
    </x:row>
    <x:row r="2">
      <x:c r="A2" s="3" t="inlineStr">
        <x:is>
          <x:t xml:space="preserve">Decision first. Blue cells are inputs; gray cells are formulas. Model as of 2026-08-07.</x:t>
        </x:is>
      </x:c>
      <x:c r="B2" s="2" t="n"/>
      <x:c r="C2" s="2" t="n"/>
      <x:c r="D2" s="2" t="n"/>
    </x:row>
    <x:row r="3">
      <x:c r="A3" s="2" t="n"/>
      <x:c r="B3" s="2" t="n"/>
      <x:c r="C3" s="2" t="n"/>
      <x:c r="D3" s="2" t="n"/>
    </x:row>
    <x:row r="4">
      <x:c r="A4" s="4" t="inlineStr">
        <x:is>
          <x:t xml:space="preserve">Current stance</x:t>
        </x:is>
      </x:c>
      <x:c r="B4" s="2" t="inlineStr">
        <x:is>
          <x:t xml:space="preserve">WAIT FOR PROOF / NO POSITION</x:t>
        </x:is>
      </x:c>
      <x:c r="C4" s="2" t="n"/>
      <x:c r="D4" s="2" t="n"/>
    </x:row>
    <x:row r="5">
      <x:c r="A5" s="4" t="inlineStr">
        <x:is>
          <x:t xml:space="preserve">Current size</x:t>
        </x:is>
      </x:c>
      <x:c r="B5" s="5" t="n">
        <x:v>0</x:v>
      </x:c>
      <x:c r="C5" s="2" t="n"/>
      <x:c r="D5" s="2" t="n"/>
    </x:row>
    <x:row r="6">
      <x:c r="A6" s="4" t="inlineStr">
        <x:is>
          <x:t xml:space="preserve">Calculation integrity</x:t>
        </x:is>
      </x:c>
      <x:c r="B6" s="6" t="str">
        <x:f>IF(Checks!B3="PASS","PASS","FAIL")</x:f>
        <x:v>PASS</x:v>
      </x:c>
      <x:c r="C6" s="2" t="n"/>
      <x:c r="D6" s="2" t="n"/>
    </x:row>
    <x:row r="7">
      <x:c r="A7" s="4" t="inlineStr">
        <x:is>
          <x:t xml:space="preserve">Trade implementation</x:t>
        </x:is>
      </x:c>
      <x:c r="B7" s="2" t="inlineStr">
        <x:is>
          <x:t xml:space="preserve">NOT CLEARED</x:t>
        </x:is>
      </x:c>
      <x:c r="C7" s="2" t="n"/>
      <x:c r="D7" s="2" t="n"/>
    </x:row>
    <x:row r="8">
      <x:c r="A8" s="2" t="n"/>
      <x:c r="B8" s="2" t="n"/>
      <x:c r="C8" s="2" t="n"/>
      <x:c r="D8" s="2" t="n"/>
    </x:row>
    <x:row r="9">
      <x:c r="A9" s="4" t="inlineStr">
        <x:is>
          <x:t xml:space="preserve">Spot</x:t>
        </x:is>
      </x:c>
      <x:c r="B9" s="7" t="n">
        <x:f>Drivers!B14</x:f>
        <x:v>354.24</x:v>
      </x:c>
      <x:c r="C9" s="2" t="n"/>
      <x:c r="D9" s="2" t="n"/>
    </x:row>
    <x:row r="10">
      <x:c r="A10" s="4" t="inlineStr">
        <x:is>
          <x:t xml:space="preserve">Primary scenario EV</x:t>
        </x:is>
      </x:c>
      <x:c r="B10" s="7" t="n">
        <x:f>Decision!B8</x:f>
        <x:v>335.41894138602373</x:v>
      </x:c>
      <x:c r="C10" s="2" t="n"/>
      <x:c r="D10" s="2" t="n"/>
    </x:row>
    <x:row r="11">
      <x:c r="A11" s="4" t="inlineStr">
        <x:is>
          <x:t xml:space="preserve">DCF cross-check</x:t>
        </x:is>
      </x:c>
      <x:c r="B11" s="7" t="n">
        <x:f>Valuation!B34</x:f>
        <x:v>143.63972811799883</x:v>
      </x:c>
      <x:c r="C11" s="2" t="n"/>
      <x:c r="D11" s="2" t="n"/>
    </x:row>
    <x:row r="12">
      <x:c r="A12" s="4" t="inlineStr">
        <x:is>
          <x:t xml:space="preserve">FY2027 restated EPS</x:t>
        </x:is>
      </x:c>
      <x:c r="B12" s="7" t="n">
        <x:f>Variant!B9</x:f>
        <x:v>14.5513150437059</x:v>
      </x:c>
      <x:c r="C12" s="2" t="n"/>
      <x:c r="D12" s="2" t="n"/>
    </x:row>
    <x:row r="13">
      <x:c r="A13" s="4" t="inlineStr">
        <x:is>
          <x:t xml:space="preserve">WACC</x:t>
        </x:is>
      </x:c>
      <x:c r="B13" s="8" t="n">
        <x:f>WACC!B15</x:f>
        <x:v>0.08813373967017409</x:v>
      </x:c>
      <x:c r="C13" s="2" t="n"/>
      <x:c r="D13" s="2" t="n"/>
    </x:row>
    <x:row r="14">
      <x:c r="A14" s="4" t="inlineStr">
        <x:is>
          <x:t xml:space="preserve">Terminal value / EV</x:t>
        </x:is>
      </x:c>
      <x:c r="B14" s="9" t="n">
        <x:f>Valuation!B31</x:f>
        <x:v>0.8987996906705554</x:v>
      </x:c>
      <x:c r="C14" s="2" t="n"/>
      <x:c r="D14" s="2" t="n"/>
    </x:row>
    <x:row r="15">
      <x:c r="A15" s="2" t="n"/>
      <x:c r="B15" s="2" t="n"/>
      <x:c r="C15" s="2" t="n"/>
      <x:c r="D15" s="2" t="n"/>
    </x:row>
    <x:row r="16">
      <x:c r="A16" s="2" t="n"/>
      <x:c r="B16" s="2" t="n"/>
      <x:c r="C16" s="2" t="n"/>
      <x:c r="D16" s="2" t="n"/>
    </x:row>
    <x:row r="17">
      <x:c r="A17" s="4" t="inlineStr">
        <x:is>
          <x:t xml:space="preserve">Selected causal thesis</x:t>
        </x:is>
      </x:c>
      <x:c r="B17" s="2" t="n"/>
      <x:c r="C17" s="2" t="n"/>
      <x:c r="D17" s="2" t="n"/>
    </x:row>
    <x:row r="18">
      <x:c r="A18" s="10" t="inlineStr">
        <x:is>
          <x:t xml:space="preserve">AI capex converts into GAAP D&amp;A faster than consensus EPS incorporates it; only if EBITDA fails to absorb the charge do quarterly prints force FY2027-28 EPS cuts and a multiple reset. DCF is a risk frame, not the catalyst.</x:t>
        </x:is>
      </x:c>
      <x:c r="B18" s="2" t="n"/>
      <x:c r="C18" s="2" t="n"/>
      <x:c r="D18" s="2" t="n"/>
    </x:row>
    <x:row r="19">
      <x:c r="A19" s="2" t="n"/>
      <x:c r="B19" s="2" t="n"/>
      <x:c r="C19" s="2" t="n"/>
      <x:c r="D19" s="2" t="n"/>
    </x:row>
    <x:row r="20">
      <x:c r="A20" s="2" t="n"/>
      <x:c r="B20" s="2" t="n"/>
      <x:c r="C20" s="2" t="n"/>
      <x:c r="D20" s="2" t="n"/>
    </x:row>
    <x:row r="21">
      <x:c r="A21" s="2" t="n"/>
      <x:c r="B21" s="2" t="n"/>
      <x:c r="C21" s="2" t="n"/>
      <x:c r="D21" s="2" t="n"/>
    </x:row>
    <x:row r="22">
      <x:c r="A22" s="4" t="inlineStr">
        <x:is>
          <x:t xml:space="preserve">Circulation posture</x:t>
        </x:is>
      </x:c>
      <x:c r="B22" s="2" t="n"/>
      <x:c r="C22" s="2" t="n"/>
      <x:c r="D22" s="2" t="n"/>
    </x:row>
    <x:row r="23">
      <x:c r="A23" s="10" t="inlineStr">
        <x:is>
          <x:t xml:space="preserve">Shareable as a research-monitoring package. Not approved to risk capital: borrow/carry, crowding, options, hedge and observed revision evidence remain open.</x:t>
        </x:is>
      </x:c>
      <x:c r="B23" s="2" t="n"/>
      <x:c r="C23" s="2" t="n"/>
      <x:c r="D23" s="2" t="n"/>
    </x:row>
    <x:row r="24">
      <x:c r="A24" s="2" t="n"/>
      <x:c r="B24" s="2" t="n"/>
      <x:c r="C24" s="2" t="n"/>
      <x:c r="D24" s="2" t="n"/>
    </x:row>
    <x:row r="25">
      <x:c r="A25" s="2" t="n"/>
      <x:c r="B25" s="2" t="n"/>
      <x:c r="C25" s="2" t="n"/>
      <x:c r="D25" s="2" t="n"/>
    </x:row>
  </x:sheetData>
  <x:mergeCells>
    <x:mergeCell ref="A18:D20"/>
    <x:mergeCell ref="A23:D2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10" customWidth="1"/>
    <x:col min="2" max="2" width="20" customWidth="1"/>
    <x:col min="3" max="3" width="46" customWidth="1"/>
    <x:col min="4" max="4" width="14" customWidth="1"/>
    <x:col min="5" max="5" width="34" customWidth="1"/>
    <x:col min="6" max="6" width="28" customWidth="1"/>
    <x:col min="7" max="7" width="60" customWidth="1"/>
  </x:cols>
  <x:sheetData>
    <x:row r="1">
      <x:c r="A1" s="1" t="inlineStr">
        <x:is>
          <x:t xml:space="preserve">Source ledger</x:t>
        </x:is>
      </x:c>
      <x:c r="B1" s="2" t="n"/>
      <x:c r="C1" s="2" t="n"/>
      <x:c r="D1" s="2" t="n"/>
      <x:c r="E1" s="2" t="n"/>
      <x:c r="F1" s="2" t="n"/>
      <x:c r="G1" s="2" t="n"/>
    </x:row>
    <x:row r="2">
      <x:c r="A2" s="3" t="inlineStr">
        <x:is>
          <x:t xml:space="preserve">Sourced facts and analyst assumptions are deliberately separated.</x:t>
        </x:is>
      </x:c>
      <x:c r="B2" s="2" t="n"/>
      <x:c r="C2" s="2" t="n"/>
      <x:c r="D2" s="2" t="n"/>
      <x:c r="E2" s="2" t="n"/>
      <x:c r="F2" s="2" t="n"/>
      <x:c r="G2" s="2" t="n"/>
    </x:row>
    <x:row r="3">
      <x:c r="A3" s="2" t="n"/>
      <x:c r="B3" s="2" t="n"/>
      <x:c r="C3" s="2" t="n"/>
      <x:c r="D3" s="2" t="n"/>
      <x:c r="E3" s="2" t="n"/>
      <x:c r="F3" s="2" t="n"/>
      <x:c r="G3" s="2" t="n"/>
    </x:row>
    <x:row r="4">
      <x:c r="A4" s="11" t="inlineStr">
        <x:is>
          <x:t xml:space="preserve">ID</x:t>
        </x:is>
      </x:c>
      <x:c r="B4" s="12" t="inlineStr">
        <x:is>
          <x:t xml:space="preserve">Type</x:t>
        </x:is>
      </x:c>
      <x:c r="C4" s="12" t="inlineStr">
        <x:is>
          <x:t xml:space="preserve">Metric / assumption</x:t>
        </x:is>
      </x:c>
      <x:c r="D4" s="12" t="inlineStr">
        <x:is>
          <x:t xml:space="preserve">As of</x:t>
        </x:is>
      </x:c>
      <x:c r="E4" s="12" t="inlineStr">
        <x:is>
          <x:t xml:space="preserve">Document / provider</x:t>
        </x:is>
      </x:c>
      <x:c r="F4" s="12" t="inlineStr">
        <x:is>
          <x:t xml:space="preserve">Accession / location</x:t>
        </x:is>
      </x:c>
      <x:c r="G4" s="12" t="inlineStr">
        <x:is>
          <x:t xml:space="preserve">URL</x:t>
        </x:is>
      </x:c>
    </x:row>
    <x:row r="5">
      <x:c r="A5" s="10" t="inlineStr">
        <x:is>
          <x:t xml:space="preserve">S1</x:t>
        </x:is>
      </x:c>
      <x:c r="B5" s="10" t="inlineStr">
        <x:is>
          <x:t xml:space="preserve">Filed fact</x:t>
        </x:is>
      </x:c>
      <x:c r="C5" s="10" t="inlineStr">
        <x:is>
          <x:t xml:space="preserve">H1 revenue, EBIT, PPE depreciation, intangible amortization, capex, CFO; balance sheet; capital structure</x:t>
        </x:is>
      </x:c>
      <x:c r="D5" s="10" t="inlineStr">
        <x:is>
          <x:t xml:space="preserve">2026-06-30</x:t>
        </x:is>
      </x:c>
      <x:c r="E5" s="10" t="inlineStr">
        <x:is>
          <x:t xml:space="preserve">Alphabet Q2 2026 Form 10-Q</x:t>
        </x:is>
      </x:c>
      <x:c r="F5" s="10" t="inlineStr">
        <x:is>
          <x:t xml:space="preserve">0001652044-26-000071</x:t>
        </x:is>
      </x:c>
      <x:c r="G5" s="10" t="inlineStr">
        <x:is>
          <x:t xml:space="preserve">https://www.sec.gov/Archives/edgar/data/1652044/000165204426000071/goog-20260630.htm</x:t>
        </x:is>
      </x:c>
    </x:row>
    <x:row r="6">
      <x:c r="A6" s="10" t="inlineStr">
        <x:is>
          <x:t xml:space="preserve">S2</x:t>
        </x:is>
      </x:c>
      <x:c r="B6" s="10" t="inlineStr">
        <x:is>
          <x:t xml:space="preserve">Filed fact / guidance</x:t>
        </x:is>
      </x:c>
      <x:c r="C6" s="10" t="inlineStr">
        <x:is>
          <x:t xml:space="preserve">Q2 results; ATM unsold at June 30</x:t>
        </x:is>
      </x:c>
      <x:c r="D6" s="10" t="inlineStr">
        <x:is>
          <x:t xml:space="preserve">2026-07-22</x:t>
        </x:is>
      </x:c>
      <x:c r="E6" s="10" t="inlineStr">
        <x:is>
          <x:t xml:space="preserve">Alphabet Q2 2026 earnings release</x:t>
        </x:is>
      </x:c>
      <x:c r="F6" s="10" t="inlineStr">
        <x:is>
          <x:t xml:space="preserve">0001652044-26-000066</x:t>
        </x:is>
      </x:c>
      <x:c r="G6" s="10" t="inlineStr">
        <x:is>
          <x:t xml:space="preserve">https://www.sec.gov/Archives/edgar/data/1652044/000165204426000066/googexhibit991q22026.htm</x:t>
        </x:is>
      </x:c>
    </x:row>
    <x:row r="7">
      <x:c r="A7" s="10" t="inlineStr">
        <x:is>
          <x:t xml:space="preserve">S2A</x:t>
        </x:is>
      </x:c>
      <x:c r="B7" s="10" t="inlineStr">
        <x:is>
          <x:t xml:space="preserve">Management guidance</x:t>
        </x:is>
      </x:c>
      <x:c r="C7" s="10" t="inlineStr">
        <x:is>
          <x:t xml:space="preserve">FY2026 capex $195-205bn; 2027 expected to increase significantly; Q2 infrastructure capex mix</x:t>
        </x:is>
      </x:c>
      <x:c r="D7" s="10" t="inlineStr">
        <x:is>
          <x:t xml:space="preserve">2026-07-22</x:t>
        </x:is>
      </x:c>
      <x:c r="E7" s="10" t="inlineStr">
        <x:is>
          <x:t xml:space="preserve">Alphabet Q2 2026 earnings call</x:t>
        </x:is>
      </x:c>
      <x:c r="F7" s="10" t="inlineStr">
        <x:is>
          <x:t xml:space="preserve">management remarks</x:t>
        </x:is>
      </x:c>
      <x:c r="G7" s="10" t="inlineStr">
        <x:is>
          <x:t xml:space="preserve">https://alphabet2025ir.q4web.com/investor/events/event-details/2026/2026-Q2-Earnings-Call-2026-GgTAq7Is0z/default.aspx</x:t>
        </x:is>
      </x:c>
    </x:row>
    <x:row r="8">
      <x:c r="A8" s="10" t="inlineStr">
        <x:is>
          <x:t xml:space="preserve">S2B</x:t>
        </x:is>
      </x:c>
      <x:c r="B8" s="10" t="inlineStr">
        <x:is>
          <x:t xml:space="preserve">Filed accounting policy</x:t>
        </x:is>
      </x:c>
      <x:c r="C8" s="10" t="inlineStr">
        <x:is>
          <x:t xml:space="preserve">Servers/network generally 6 years; buildings 7-40 years</x:t>
        </x:is>
      </x:c>
      <x:c r="D8" s="10" t="inlineStr">
        <x:is>
          <x:t xml:space="preserve">2025-12-31</x:t>
        </x:is>
      </x:c>
      <x:c r="E8" s="10" t="inlineStr">
        <x:is>
          <x:t xml:space="preserve">Alphabet FY2025 Form 10-K</x:t>
        </x:is>
      </x:c>
      <x:c r="F8" s="10" t="inlineStr">
        <x:is>
          <x:t xml:space="preserve">0001652044-26-000018</x:t>
        </x:is>
      </x:c>
      <x:c r="G8" s="10" t="inlineStr">
        <x:is>
          <x:t xml:space="preserve">https://www.sec.gov/Archives/edgar/data/1652044/000165204426000018/goog-20251231.htm</x:t>
        </x:is>
      </x:c>
    </x:row>
    <x:row r="9">
      <x:c r="A9" s="10" t="inlineStr">
        <x:is>
          <x:t xml:space="preserve">S3</x:t>
        </x:is>
      </x:c>
      <x:c r="B9" s="10" t="inlineStr">
        <x:is>
          <x:t xml:space="preserve">Market</x:t>
        </x:is>
      </x:c>
      <x:c r="C9" s="10" t="inlineStr">
        <x:is>
          <x:t xml:space="preserve">GOOGL price, 30-day share volume, shares outstanding</x:t>
        </x:is>
      </x:c>
      <x:c r="D9" s="10" t="inlineStr">
        <x:is>
          <x:t xml:space="preserve">2026-08-07</x:t>
        </x:is>
      </x:c>
      <x:c r="E9" s="10" t="inlineStr">
        <x:is>
          <x:t xml:space="preserve">Robinhood equity quote/fundamentals</x:t>
        </x:is>
      </x:c>
      <x:c r="F9" s="10" t="inlineStr">
        <x:is>
          <x:t xml:space="preserve">read-only MCP snapshot</x:t>
        </x:is>
      </x:c>
      <x:c r="G9" s="10" t="inlineStr">
        <x:is>
          <x:t xml:space="preserve">https://robinhood.com/stocks/GOOGL</x:t>
        </x:is>
      </x:c>
    </x:row>
    <x:row r="10">
      <x:c r="A10" s="10" t="inlineStr">
        <x:is>
          <x:t xml:space="preserve">S4</x:t>
        </x:is>
      </x:c>
      <x:c r="B10" s="10" t="inlineStr">
        <x:is>
          <x:t xml:space="preserve">Market</x:t>
        </x:is>
      </x:c>
      <x:c r="C10" s="10" t="inlineStr">
        <x:is>
          <x:t xml:space="preserve">10-year Treasury par yield 4.65%</x:t>
        </x:is>
      </x:c>
      <x:c r="D10" s="10" t="inlineStr">
        <x:is>
          <x:t xml:space="preserve">2026-08-07</x:t>
        </x:is>
      </x:c>
      <x:c r="E10" s="10" t="inlineStr">
        <x:is>
          <x:t xml:space="preserve">U.S. Treasury daily yield curve</x:t>
        </x:is>
      </x:c>
      <x:c r="F10" s="10" t="inlineStr">
        <x:is>
          <x:t xml:space="preserve">10-year par yield</x:t>
        </x:is>
      </x:c>
      <x:c r="G10" s="10" t="inlineStr">
        <x:is>
          <x:t xml:space="preserve">https://home.treasury.gov/resource-center/data-chart-center/interest-rates/TextView?type=daily_treasury_yield_curve&amp;field_tdr_date_value=2026</x:t>
        </x:is>
      </x:c>
    </x:row>
    <x:row r="11">
      <x:c r="A11" s="10" t="inlineStr">
        <x:is>
          <x:t xml:space="preserve">S5</x:t>
        </x:is>
      </x:c>
      <x:c r="B11" s="10" t="inlineStr">
        <x:is>
          <x:t xml:space="preserve">Consensus conflict</x:t>
        </x:is>
      </x:c>
      <x:c r="C11" s="10" t="inlineStr">
        <x:is>
          <x:t xml:space="preserve">FY2027 EPS $15.01 / 42 estimates; range $13.93-$16.68</x:t>
        </x:is>
      </x:c>
      <x:c r="D11" s="10" t="inlineStr">
        <x:is>
          <x:t xml:space="preserve">2026-08-07</x:t>
        </x:is>
      </x:c>
      <x:c r="E11" s="10" t="inlineStr">
        <x:is>
          <x:t xml:space="preserve">FMP analyst financial estimates</x:t>
        </x:is>
      </x:c>
      <x:c r="F11" s="10" t="inlineStr">
        <x:is>
          <x:t xml:space="preserve">repository snapshot</x:t>
        </x:is>
      </x:c>
      <x:c r="G11" s="10" t="inlineStr">
        <x:is>
          <x:t xml:space="preserve">https://financialmodelingprep.com/developer/docs</x:t>
        </x:is>
      </x:c>
    </x:row>
    <x:row r="12">
      <x:c r="A12" s="10" t="inlineStr">
        <x:is>
          <x:t xml:space="preserve">A1</x:t>
        </x:is>
      </x:c>
      <x:c r="B12" s="10" t="inlineStr">
        <x:is>
          <x:t xml:space="preserve">Analyst assumption</x:t>
        </x:is>
      </x:c>
      <x:c r="C12" s="10" t="inlineStr">
        <x:is>
          <x:t xml:space="preserve">Beta 0.95; ERP 4.50%; terminal ROIC 18%</x:t>
        </x:is>
      </x:c>
      <x:c r="D12" s="10" t="inlineStr">
        <x:is>
          <x:t xml:space="preserve">2026-08-08</x:t>
        </x:is>
      </x:c>
      <x:c r="E12" s="10" t="inlineStr">
        <x:is>
          <x:t xml:space="preserve">Independent model assumptions</x:t>
        </x:is>
      </x:c>
      <x:c r="F12" s="10" t="inlineStr">
        <x:is>
          <x:t xml:space="preserve">not a sourced fact</x:t>
        </x:is>
      </x:c>
      <x:c r="G12" s="10" t="inlineStr">
        <x:is>
          <x:t xml:space="preserve"/>
        </x:is>
      </x:c>
    </x:row>
    <x:row r="13">
      <x:c r="A13" s="10" t="inlineStr">
        <x:is>
          <x:t xml:space="preserve">A2</x:t>
        </x:is>
      </x:c>
      <x:c r="B13" s="10" t="inlineStr">
        <x:is>
          <x:t xml:space="preserve">Analyst assumption</x:t>
        </x:is>
      </x:c>
      <x:c r="C13" s="10" t="inlineStr">
        <x:is>
          <x:t xml:space="preserve">Capex asset mix, useful lives, and placement lags</x:t>
        </x:is>
      </x:c>
      <x:c r="D13" s="10" t="inlineStr">
        <x:is>
          <x:t xml:space="preserve">2026-08-08</x:t>
        </x:is>
      </x:c>
      <x:c r="E13" s="10" t="inlineStr">
        <x:is>
          <x:t xml:space="preserve">Independent model assumptions</x:t>
        </x:is>
      </x:c>
      <x:c r="F13" s="10" t="inlineStr">
        <x:is>
          <x:t xml:space="preserve">not disclosed by Alphabet</x:t>
        </x:is>
      </x:c>
      <x:c r="G13" s="10" t="inlineStr">
        <x:is>
          <x:t xml:space="preserve"/>
        </x:is>
      </x:c>
    </x:row>
    <x:row r="14">
      <x:c r="A14" s="10" t="inlineStr">
        <x:is>
          <x:t xml:space="preserve">A3</x:t>
        </x:is>
      </x:c>
      <x:c r="B14" s="10" t="inlineStr">
        <x:is>
          <x:t xml:space="preserve">Analyst assumption</x:t>
        </x:is>
      </x:c>
      <x:c r="C14" s="10" t="inlineStr">
        <x:is>
          <x:t xml:space="preserve">Scenario probabilities, EBITDA offsets, and exit multiples</x:t>
        </x:is>
      </x:c>
      <x:c r="D14" s="10" t="inlineStr">
        <x:is>
          <x:t xml:space="preserve">2026-08-08</x:t>
        </x:is>
      </x:c>
      <x:c r="E14" s="10" t="inlineStr">
        <x:is>
          <x:t xml:space="preserve">Illustrative risk frame</x:t>
        </x:is>
      </x:c>
      <x:c r="F14" s="10" t="inlineStr">
        <x:is>
          <x:t xml:space="preserve">not an actionable trade</x:t>
        </x:is>
      </x:c>
      <x:c r="G14" s="10" t="inlineStr">
        <x:is>
          <x:t xml:space="preserve"/>
        </x:is>
      </x:c>
    </x:row>
  </x:sheetData>
  <x:hyperlinks>
    <x:hyperlink xmlns:r="http://schemas.openxmlformats.org/officeDocument/2006/relationships" ref="G5" r:id="Rb51fac7a7d2746d1"/>
    <x:hyperlink xmlns:r="http://schemas.openxmlformats.org/officeDocument/2006/relationships" ref="G6" r:id="R2682c2ec92f04eec"/>
    <x:hyperlink xmlns:r="http://schemas.openxmlformats.org/officeDocument/2006/relationships" ref="G7" r:id="R8fb59e1191ed4921"/>
    <x:hyperlink xmlns:r="http://schemas.openxmlformats.org/officeDocument/2006/relationships" ref="G8" r:id="Rc1eebe1a573e435f"/>
    <x:hyperlink xmlns:r="http://schemas.openxmlformats.org/officeDocument/2006/relationships" ref="G9" r:id="Rbde929e615354468"/>
    <x:hyperlink xmlns:r="http://schemas.openxmlformats.org/officeDocument/2006/relationships" ref="G10" r:id="R6c6f557b34dd4526"/>
    <x:hyperlink xmlns:r="http://schemas.openxmlformats.org/officeDocument/2006/relationships" ref="G11" r:id="R73ec5ff527eb49ab"/>
  </x:hyperlink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6" customWidth="1"/>
    <x:col min="2" max="2" width="16" customWidth="1"/>
    <x:col min="3" max="3" width="16" customWidth="1"/>
    <x:col min="4" max="4" width="16" customWidth="1"/>
    <x:col min="5" max="5" width="16" customWidth="1"/>
    <x:col min="6" max="6" width="16" customWidth="1"/>
    <x:col min="7" max="7" width="16" customWidth="1"/>
    <x:col min="8" max="8" width="52" customWidth="1"/>
  </x:cols>
  <x:sheetData>
    <x:row r="1">
      <x:c r="A1" s="1" t="inlineStr">
        <x:is>
          <x:t xml:space="preserve">Operating and valuation drivers</x:t>
        </x:is>
      </x:c>
      <x:c r="B1" s="2" t="n"/>
      <x:c r="C1" s="2" t="n"/>
      <x:c r="D1" s="2" t="n"/>
      <x:c r="E1" s="2" t="n"/>
      <x:c r="F1" s="2" t="n"/>
      <x:c r="G1" s="2" t="n"/>
      <x:c r="H1" s="2" t="n"/>
    </x:row>
    <x:row r="2">
      <x:c r="A2" s="3" t="inlineStr">
        <x:is>
          <x:t xml:space="preserve">FY2026 contains reported H1 plus forecast H2; only the remaining stub is discounted.</x:t>
        </x:is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</x:row>
    <x:row r="4">
      <x:c r="A4" s="11" t="inlineStr">
        <x:is>
          <x:t xml:space="preserve">Driver</x:t>
        </x:is>
      </x:c>
      <x:c r="B4" s="12" t="inlineStr">
        <x:is>
          <x:t xml:space="preserve">2026</x:t>
        </x:is>
      </x:c>
      <x:c r="C4" s="12" t="inlineStr">
        <x:is>
          <x:t xml:space="preserve">2027</x:t>
        </x:is>
      </x:c>
      <x:c r="D4" s="12" t="inlineStr">
        <x:is>
          <x:t xml:space="preserve">2028</x:t>
        </x:is>
      </x:c>
      <x:c r="E4" s="12" t="inlineStr">
        <x:is>
          <x:t xml:space="preserve">2029</x:t>
        </x:is>
      </x:c>
      <x:c r="F4" s="12" t="inlineStr">
        <x:is>
          <x:t xml:space="preserve">2030</x:t>
        </x:is>
      </x:c>
      <x:c r="G4" s="12" t="inlineStr">
        <x:is>
          <x:t xml:space="preserve">2031</x:t>
        </x:is>
      </x:c>
      <x:c r="H4" s="12" t="inlineStr">
        <x:is>
          <x:t xml:space="preserve">Evidence label / note</x:t>
        </x:is>
      </x:c>
    </x:row>
    <x:row r="5">
      <x:c r="A5" s="4" t="inlineStr">
        <x:is>
          <x:t xml:space="preserve">Full-year revenue</x:t>
        </x:is>
      </x:c>
      <x:c r="B5" s="13" t="n">
        <x:v>498422507321</x:v>
      </x:c>
      <x:c r="C5" s="14" t="n">
        <x:f>B5*(1+C6)</x:f>
        <x:v>577322790229.9143</x:v>
      </x:c>
      <x:c r="D5" s="14" t="n">
        <x:f>C5*(1+D6)</x:f>
        <x:v>655780957422.1597</x:v>
      </x:c>
      <x:c r="E5" s="14" t="n">
        <x:f>D5*(1+E6)</x:f>
        <x:v>734736984695.7877</x:v>
      </x:c>
      <x:c r="F5" s="14" t="n">
        <x:f>E5*(1+F6)</x:f>
        <x:v>814309000138.3416</x:v>
      </x:c>
      <x:c r="G5" s="14" t="n">
        <x:f>F5*(1+G6)</x:f>
        <x:v>891912647851.5255</x:v>
      </x:c>
      <x:c r="H5" s="3" t="inlineStr">
        <x:is>
          <x:t xml:space="preserve">2026 = reported H1 + forecast H2; later years formula driven</x:t>
        </x:is>
      </x:c>
    </x:row>
    <x:row r="6">
      <x:c r="A6" s="4" t="inlineStr">
        <x:is>
          <x:t xml:space="preserve">Revenue growth</x:t>
        </x:is>
      </x:c>
      <x:c r="B6" s="15" t="n"/>
      <x:c r="C6" s="15" t="n">
        <x:v>0.1583</x:v>
      </x:c>
      <x:c r="D6" s="15" t="n">
        <x:v>0.1359</x:v>
      </x:c>
      <x:c r="E6" s="15" t="n">
        <x:v>0.1204</x:v>
      </x:c>
      <x:c r="F6" s="15" t="n">
        <x:v>0.1083</x:v>
      </x:c>
      <x:c r="G6" s="15" t="n">
        <x:v>0.0953</x:v>
      </x:c>
      <x:c r="H6" s="3" t="inlineStr">
        <x:is>
          <x:t xml:space="preserve">Analyst assumption after 2026</x:t>
        </x:is>
      </x:c>
    </x:row>
    <x:row r="7">
      <x:c r="A7" s="4" t="inlineStr">
        <x:is>
          <x:t xml:space="preserve">EBITDA margin</x:t>
        </x:is>
      </x:c>
      <x:c r="B7" s="15" t="n">
        <x:v>0.385</x:v>
      </x:c>
      <x:c r="C7" s="15" t="n">
        <x:v>0.392</x:v>
      </x:c>
      <x:c r="D7" s="15" t="n">
        <x:v>0.398</x:v>
      </x:c>
      <x:c r="E7" s="15" t="n">
        <x:v>0.402</x:v>
      </x:c>
      <x:c r="F7" s="15" t="n">
        <x:v>0.405</x:v>
      </x:c>
      <x:c r="G7" s="15" t="n">
        <x:v>0.407</x:v>
      </x:c>
      <x:c r="H7" s="3" t="inlineStr">
        <x:is>
          <x:t xml:space="preserve">Analyst assumption</x:t>
        </x:is>
      </x:c>
    </x:row>
    <x:row r="8">
      <x:c r="A8" s="4" t="inlineStr">
        <x:is>
          <x:t xml:space="preserve">Capex</x:t>
        </x:is>
      </x:c>
      <x:c r="B8" s="13" t="n">
        <x:v>200000000000</x:v>
      </x:c>
      <x:c r="C8" s="13" t="n">
        <x:v>230000000000</x:v>
      </x:c>
      <x:c r="D8" s="13" t="n">
        <x:v>225000000000</x:v>
      </x:c>
      <x:c r="E8" s="13" t="n">
        <x:v>205000000000</x:v>
      </x:c>
      <x:c r="F8" s="13" t="n">
        <x:v>185000000000</x:v>
      </x:c>
      <x:c r="G8" s="13" t="n">
        <x:v>170000000000</x:v>
      </x:c>
      <x:c r="H8" s="3" t="inlineStr">
        <x:is>
          <x:t xml:space="preserve">FY2026 midpoint of $195-205bn guidance; later years assumption</x:t>
        </x:is>
      </x:c>
    </x:row>
    <x:row r="9">
      <x:c r="A9" s="4" t="inlineStr">
        <x:is>
          <x:t xml:space="preserve">Tax rate</x:t>
        </x:is>
      </x:c>
      <x:c r="B9" s="15" t="n">
        <x:v>0.185</x:v>
      </x:c>
      <x:c r="C9" s="15" t="n">
        <x:v>0.185</x:v>
      </x:c>
      <x:c r="D9" s="15" t="n">
        <x:v>0.185</x:v>
      </x:c>
      <x:c r="E9" s="15" t="n">
        <x:v>0.185</x:v>
      </x:c>
      <x:c r="F9" s="15" t="n">
        <x:v>0.185</x:v>
      </x:c>
      <x:c r="G9" s="15" t="n">
        <x:v>0.185</x:v>
      </x:c>
      <x:c r="H9" s="3" t="inlineStr">
        <x:is>
          <x:t xml:space="preserve">Analyst assumption</x:t>
        </x:is>
      </x:c>
    </x:row>
    <x:row r="10">
      <x:c r="A10" s="4" t="inlineStr">
        <x:is>
          <x:t xml:space="preserve">NWC % revenue</x:t>
        </x:is>
      </x:c>
      <x:c r="B10" s="15" t="n">
        <x:v>0.015</x:v>
      </x:c>
      <x:c r="C10" s="15" t="n">
        <x:v>0.015</x:v>
      </x:c>
      <x:c r="D10" s="15" t="n">
        <x:v>0.015</x:v>
      </x:c>
      <x:c r="E10" s="15" t="n">
        <x:v>0.015</x:v>
      </x:c>
      <x:c r="F10" s="15" t="n">
        <x:v>0.015</x:v>
      </x:c>
      <x:c r="G10" s="15" t="n">
        <x:v>0.015</x:v>
      </x:c>
      <x:c r="H10" s="3" t="inlineStr">
        <x:is>
          <x:t xml:space="preserve">Analyst assumption</x:t>
        </x:is>
      </x:c>
    </x:row>
    <x:row r="11">
      <x:c r="A11" s="2" t="n"/>
      <x:c r="B11" s="2" t="n"/>
      <x:c r="C11" s="2" t="n"/>
      <x:c r="D11" s="2" t="n"/>
      <x:c r="E11" s="2" t="n"/>
      <x:c r="F11" s="2" t="n"/>
      <x:c r="G11" s="2" t="n"/>
      <x:c r="H11" s="2" t="n"/>
    </x:row>
    <x:row r="12">
      <x:c r="A12" s="2" t="n"/>
      <x:c r="B12" s="2" t="n"/>
      <x:c r="C12" s="2" t="n"/>
      <x:c r="D12" s="2" t="n"/>
      <x:c r="E12" s="2" t="n"/>
      <x:c r="F12" s="2" t="n"/>
      <x:c r="G12" s="2" t="n"/>
      <x:c r="H12" s="2" t="n"/>
    </x:row>
    <x:row r="13">
      <x:c r="A13" s="2" t="n"/>
      <x:c r="B13" s="2" t="n"/>
      <x:c r="C13" s="2" t="n"/>
      <x:c r="D13" s="2" t="n"/>
      <x:c r="E13" s="2" t="n"/>
      <x:c r="F13" s="2" t="n"/>
      <x:c r="G13" s="2" t="n"/>
      <x:c r="H13" s="2" t="n"/>
    </x:row>
    <x:row r="14">
      <x:c r="A14" s="4" t="inlineStr">
        <x:is>
          <x:t xml:space="preserve">Spot price</x:t>
        </x:is>
      </x:c>
      <x:c r="B14" s="16" t="n">
        <x:v>354.24</x:v>
      </x:c>
      <x:c r="C14" s="3" t="inlineStr">
        <x:is>
          <x:t xml:space="preserve">S3; regular-hours last trade</x:t>
        </x:is>
      </x:c>
      <x:c r="D14" s="2" t="n"/>
      <x:c r="E14" s="2" t="n"/>
      <x:c r="F14" s="2" t="n"/>
      <x:c r="G14" s="2" t="n"/>
      <x:c r="H14" s="2" t="n"/>
    </x:row>
    <x:row r="15">
      <x:c r="A15" s="4" t="inlineStr">
        <x:is>
          <x:t xml:space="preserve">Valuation date</x:t>
        </x:is>
      </x:c>
      <x:c r="B15" s="17" t="n">
        <x:v>46241</x:v>
      </x:c>
      <x:c r="C15" s="3" t="inlineStr">
        <x:is>
          <x:t xml:space="preserve">S3</x:t>
        </x:is>
      </x:c>
      <x:c r="D15" s="2" t="n"/>
      <x:c r="E15" s="2" t="n"/>
      <x:c r="F15" s="2" t="n"/>
      <x:c r="G15" s="2" t="n"/>
      <x:c r="H15" s="2" t="n"/>
    </x:row>
    <x:row r="16">
      <x:c r="A16" s="4" t="inlineStr">
        <x:is>
          <x:t xml:space="preserve">Financial cutoff</x:t>
        </x:is>
      </x:c>
      <x:c r="B16" s="17" t="n">
        <x:v>46203</x:v>
      </x:c>
      <x:c r="C16" s="3" t="inlineStr">
        <x:is>
          <x:t xml:space="preserve">S1</x:t>
        </x:is>
      </x:c>
      <x:c r="D16" s="2" t="n"/>
      <x:c r="E16" s="2" t="n"/>
      <x:c r="F16" s="2" t="n"/>
      <x:c r="G16" s="2" t="n"/>
      <x:c r="H16" s="2" t="n"/>
    </x:row>
    <x:row r="17">
      <x:c r="A17" s="4" t="inlineStr">
        <x:is>
          <x:t xml:space="preserve">H1 revenue</x:t>
        </x:is>
      </x:c>
      <x:c r="B17" s="13" t="n">
        <x:v>229692000000</x:v>
      </x:c>
      <x:c r="C17" s="3" t="inlineStr">
        <x:is>
          <x:t xml:space="preserve">S1</x:t>
        </x:is>
      </x:c>
      <x:c r="D17" s="2" t="n"/>
      <x:c r="E17" s="2" t="n"/>
      <x:c r="F17" s="2" t="n"/>
      <x:c r="G17" s="2" t="n"/>
      <x:c r="H17" s="2" t="n"/>
    </x:row>
    <x:row r="18">
      <x:c r="A18" s="4" t="inlineStr">
        <x:is>
          <x:t xml:space="preserve">H1 EBIT</x:t>
        </x:is>
      </x:c>
      <x:c r="B18" s="13" t="n">
        <x:v>80466000000</x:v>
      </x:c>
      <x:c r="C18" s="3" t="inlineStr">
        <x:is>
          <x:t xml:space="preserve">S1</x:t>
        </x:is>
      </x:c>
      <x:c r="D18" s="2" t="n"/>
      <x:c r="E18" s="2" t="n"/>
      <x:c r="F18" s="2" t="n"/>
      <x:c r="G18" s="2" t="n"/>
      <x:c r="H18" s="2" t="n"/>
    </x:row>
    <x:row r="19">
      <x:c r="A19" s="4" t="inlineStr">
        <x:is>
          <x:t xml:space="preserve">H1 D&amp;A</x:t>
        </x:is>
      </x:c>
      <x:c r="B19" s="13" t="n">
        <x:v>14131000000</x:v>
      </x:c>
      <x:c r="C19" s="3" t="inlineStr">
        <x:is>
          <x:t xml:space="preserve">S1</x:t>
        </x:is>
      </x:c>
      <x:c r="D19" s="2" t="n"/>
      <x:c r="E19" s="2" t="n"/>
      <x:c r="F19" s="2" t="n"/>
      <x:c r="G19" s="2" t="n"/>
      <x:c r="H19" s="2" t="n"/>
    </x:row>
    <x:row r="20">
      <x:c r="A20" s="4" t="inlineStr">
        <x:is>
          <x:t xml:space="preserve">H1 capex</x:t>
        </x:is>
      </x:c>
      <x:c r="B20" s="13" t="n">
        <x:v>80598000000</x:v>
      </x:c>
      <x:c r="C20" s="3" t="inlineStr">
        <x:is>
          <x:t xml:space="preserve">S1</x:t>
        </x:is>
      </x:c>
      <x:c r="D20" s="2" t="n"/>
      <x:c r="E20" s="2" t="n"/>
      <x:c r="F20" s="2" t="n"/>
      <x:c r="G20" s="2" t="n"/>
      <x:c r="H20" s="2" t="n"/>
    </x:row>
    <x:row r="21">
      <x:c r="A21" s="4" t="inlineStr">
        <x:is>
          <x:t xml:space="preserve">Terminal growth</x:t>
        </x:is>
      </x:c>
      <x:c r="B21" s="15" t="n">
        <x:v>0.03</x:v>
      </x:c>
      <x:c r="C21" s="3" t="inlineStr">
        <x:is>
          <x:t xml:space="preserve">A1</x:t>
        </x:is>
      </x:c>
      <x:c r="D21" s="2" t="n"/>
      <x:c r="E21" s="2" t="n"/>
      <x:c r="F21" s="2" t="n"/>
      <x:c r="G21" s="2" t="n"/>
      <x:c r="H21" s="2" t="n"/>
    </x:row>
    <x:row r="22">
      <x:c r="A22" s="4" t="inlineStr">
        <x:is>
          <x:t xml:space="preserve">Terminal ROIC</x:t>
        </x:is>
      </x:c>
      <x:c r="B22" s="15" t="n">
        <x:v>0.18</x:v>
      </x:c>
      <x:c r="C22" s="3" t="inlineStr">
        <x:is>
          <x:t xml:space="preserve">A1</x:t>
        </x:is>
      </x:c>
      <x:c r="D22" s="2" t="n"/>
      <x:c r="E22" s="2" t="n"/>
      <x:c r="F22" s="2" t="n"/>
      <x:c r="G22" s="2" t="n"/>
      <x:c r="H22" s="2" t="n"/>
    </x:row>
    <x:row r="23">
      <x:c r="A23" s="2" t="n"/>
      <x:c r="B23" s="2" t="n"/>
      <x:c r="C23" s="2" t="n"/>
      <x:c r="D23" s="2" t="n"/>
      <x:c r="E23" s="2" t="n"/>
      <x:c r="F23" s="2" t="n"/>
      <x:c r="G23" s="2" t="n"/>
      <x:c r="H23" s="2" t="n"/>
    </x:row>
    <x:row r="24">
      <x:c r="A24" s="4" t="inlineStr">
        <x:is>
          <x:t xml:space="preserve">Liquid cash / securities</x:t>
        </x:is>
      </x:c>
      <x:c r="B24" s="13" t="n">
        <x:v>162474000000</x:v>
      </x:c>
      <x:c r="C24" s="3" t="inlineStr">
        <x:is>
          <x:t xml:space="preserve">S1; excludes restricted SpaceX</x:t>
        </x:is>
      </x:c>
      <x:c r="D24" s="2" t="n"/>
      <x:c r="E24" s="2" t="n"/>
      <x:c r="F24" s="2" t="n"/>
      <x:c r="G24" s="2" t="n"/>
      <x:c r="H24" s="2" t="n"/>
    </x:row>
    <x:row r="25">
      <x:c r="A25" s="4" t="inlineStr">
        <x:is>
          <x:t xml:space="preserve">Restricted marketable equity, gross</x:t>
        </x:is>
      </x:c>
      <x:c r="B25" s="13" t="n">
        <x:v>94126000000</x:v>
      </x:c>
      <x:c r="C25" s="3" t="inlineStr">
        <x:is>
          <x:t xml:space="preserve">S1; $80.0bn current + $14.126bn non-current</x:t>
        </x:is>
      </x:c>
      <x:c r="D25" s="2" t="n"/>
      <x:c r="E25" s="2" t="n"/>
      <x:c r="F25" s="2" t="n"/>
      <x:c r="G25" s="2" t="n"/>
      <x:c r="H25" s="2" t="n"/>
    </x:row>
    <x:row r="26">
      <x:c r="A26" s="4" t="inlineStr">
        <x:is>
          <x:t xml:space="preserve">Restricted marketable haircut</x:t>
        </x:is>
      </x:c>
      <x:c r="B26" s="15" t="n">
        <x:v>0.25</x:v>
      </x:c>
      <x:c r="C26" s="3" t="inlineStr">
        <x:is>
          <x:t xml:space="preserve">A1</x:t>
        </x:is>
      </x:c>
      <x:c r="D26" s="2" t="n"/>
      <x:c r="E26" s="2" t="n"/>
      <x:c r="F26" s="2" t="n"/>
      <x:c r="G26" s="2" t="n"/>
      <x:c r="H26" s="2" t="n"/>
    </x:row>
    <x:row r="27">
      <x:c r="A27" s="4" t="inlineStr">
        <x:is>
          <x:t xml:space="preserve">Restricted marketable equity, adjusted</x:t>
        </x:is>
      </x:c>
      <x:c r="B27" s="14" t="n">
        <x:f>B25*(1-B26)</x:f>
        <x:v>70594500000</x:v>
      </x:c>
      <x:c r="C27" s="3" t="inlineStr">
        <x:is>
          <x:t xml:space="preserve">Formula</x:t>
        </x:is>
      </x:c>
      <x:c r="D27" s="2" t="n"/>
      <x:c r="E27" s="2" t="n"/>
      <x:c r="F27" s="2" t="n"/>
      <x:c r="G27" s="2" t="n"/>
      <x:c r="H27" s="2" t="n"/>
    </x:row>
    <x:row r="28">
      <x:c r="A28" s="4" t="inlineStr">
        <x:is>
          <x:t xml:space="preserve">Non-marketable equity, gross</x:t>
        </x:is>
      </x:c>
      <x:c r="B28" s="13" t="n">
        <x:v>124259000000</x:v>
      </x:c>
      <x:c r="C28" s="3" t="inlineStr">
        <x:is>
          <x:t xml:space="preserve">S1</x:t>
        </x:is>
      </x:c>
      <x:c r="D28" s="2" t="n"/>
      <x:c r="E28" s="2" t="n"/>
      <x:c r="F28" s="2" t="n"/>
      <x:c r="G28" s="2" t="n"/>
      <x:c r="H28" s="2" t="n"/>
    </x:row>
    <x:row r="29">
      <x:c r="A29" s="4" t="inlineStr">
        <x:is>
          <x:t xml:space="preserve">Non-marketable haircut</x:t>
        </x:is>
      </x:c>
      <x:c r="B29" s="15" t="n">
        <x:v>0.5</x:v>
      </x:c>
      <x:c r="C29" s="3" t="inlineStr">
        <x:is>
          <x:t xml:space="preserve">A1</x:t>
        </x:is>
      </x:c>
      <x:c r="D29" s="2" t="n"/>
      <x:c r="E29" s="2" t="n"/>
      <x:c r="F29" s="2" t="n"/>
      <x:c r="G29" s="2" t="n"/>
      <x:c r="H29" s="2" t="n"/>
    </x:row>
    <x:row r="30">
      <x:c r="A30" s="4" t="inlineStr">
        <x:is>
          <x:t xml:space="preserve">Non-marketable equity, adjusted</x:t>
        </x:is>
      </x:c>
      <x:c r="B30" s="14" t="n">
        <x:f>B28*(1-B29)</x:f>
        <x:v>62129500000</x:v>
      </x:c>
      <x:c r="C30" s="3" t="inlineStr">
        <x:is>
          <x:t xml:space="preserve">Formula</x:t>
        </x:is>
      </x:c>
      <x:c r="D30" s="2" t="n"/>
      <x:c r="E30" s="2" t="n"/>
      <x:c r="F30" s="2" t="n"/>
      <x:c r="G30" s="2" t="n"/>
      <x:c r="H30" s="2" t="n"/>
    </x:row>
    <x:row r="31">
      <x:c r="A31" s="4" t="inlineStr">
        <x:is>
          <x:t xml:space="preserve">Debt</x:t>
        </x:is>
      </x:c>
      <x:c r="B31" s="13" t="n">
        <x:v>100164000000</x:v>
      </x:c>
      <x:c r="C31" s="3" t="inlineStr">
        <x:is>
          <x:t xml:space="preserve">S1; total carrying value</x:t>
        </x:is>
      </x:c>
      <x:c r="D31" s="2" t="n"/>
      <x:c r="E31" s="2" t="n"/>
      <x:c r="F31" s="2" t="n"/>
      <x:c r="G31" s="2" t="n"/>
      <x:c r="H31" s="2" t="n"/>
    </x:row>
    <x:row r="32">
      <x:c r="A32" s="4" t="inlineStr">
        <x:is>
          <x:t xml:space="preserve">Leases</x:t>
        </x:is>
      </x:c>
      <x:c r="B32" s="13" t="n">
        <x:v>18037000000</x:v>
      </x:c>
      <x:c r="C32" s="3" t="inlineStr">
        <x:is>
          <x:t xml:space="preserve">S1; valuation-policy assumption</x:t>
        </x:is>
      </x:c>
      <x:c r="D32" s="2" t="n"/>
      <x:c r="E32" s="2" t="n"/>
      <x:c r="F32" s="2" t="n"/>
      <x:c r="G32" s="2" t="n"/>
      <x:c r="H32" s="2" t="n"/>
    </x:row>
    <x:row r="33">
      <x:c r="A33" s="2" t="n"/>
      <x:c r="B33" s="2" t="n"/>
      <x:c r="C33" s="2" t="n"/>
      <x:c r="D33" s="2" t="n"/>
      <x:c r="E33" s="2" t="n"/>
      <x:c r="F33" s="2" t="n"/>
      <x:c r="G33" s="2" t="n"/>
      <x:c r="H33" s="2" t="n"/>
    </x:row>
    <x:row r="34">
      <x:c r="A34" s="2" t="n"/>
      <x:c r="B34" s="2" t="n"/>
      <x:c r="C34" s="2" t="n"/>
      <x:c r="D34" s="2" t="n"/>
      <x:c r="E34" s="2" t="n"/>
      <x:c r="F34" s="2" t="n"/>
      <x:c r="G34" s="2" t="n"/>
      <x:c r="H34" s="2" t="n"/>
    </x:row>
    <x:row r="35">
      <x:c r="A35" s="2" t="inlineStr">
        <x:is>
          <x:t xml:space="preserve">Street FY2027 EPS</x:t>
        </x:is>
      </x:c>
      <x:c r="B35" s="16" t="n">
        <x:v>15.00595</x:v>
      </x:c>
      <x:c r="C35" s="3" t="inlineStr">
        <x:is>
          <x:t xml:space="preserve">S5 — source conflict; research use only</x:t>
        </x:is>
      </x:c>
      <x:c r="D35" s="2" t="n"/>
      <x:c r="E35" s="2" t="n"/>
      <x:c r="F35" s="2" t="n"/>
      <x:c r="G35" s="2" t="n"/>
      <x:c r="H35" s="2" t="n"/>
    </x:row>
    <x:row r="36">
      <x:c r="A36" s="2" t="inlineStr">
        <x:is>
          <x:t xml:space="preserve">Street FY2027 EBITDA</x:t>
        </x:is>
      </x:c>
      <x:c r="B36" s="13" t="n">
        <x:v>225057923702</x:v>
      </x:c>
      <x:c r="C36" s="3" t="inlineStr">
        <x:is>
          <x:t xml:space="preserve">S5 — source conflict; research use only</x:t>
        </x:is>
      </x:c>
      <x:c r="D36" s="2" t="n"/>
      <x:c r="E36" s="2" t="n"/>
      <x:c r="F36" s="2" t="n"/>
      <x:c r="G36" s="2" t="n"/>
      <x:c r="H36" s="2" t="n"/>
    </x:row>
    <x:row r="37">
      <x:c r="A37" s="2" t="inlineStr">
        <x:is>
          <x:t xml:space="preserve">Street FY2027 EBIT</x:t>
        </x:is>
      </x:c>
      <x:c r="B37" s="13" t="n">
        <x:v>197033766501</x:v>
      </x:c>
      <x:c r="C37" s="3" t="inlineStr">
        <x:is>
          <x:t xml:space="preserve">S5 — source conflict; research use only</x:t>
        </x:is>
      </x:c>
      <x:c r="D37" s="2" t="n"/>
      <x:c r="E37" s="2" t="n"/>
      <x:c r="F37" s="2" t="n"/>
      <x:c r="G37" s="2" t="n"/>
      <x:c r="H37" s="2" t="n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4" customWidth="1"/>
    <x:col min="2" max="2" width="14" customWidth="1"/>
    <x:col min="3" max="3" width="14" customWidth="1"/>
    <x:col min="4" max="4" width="16" customWidth="1"/>
    <x:col min="5" max="5" width="16" customWidth="1"/>
    <x:col min="6" max="6" width="18" customWidth="1"/>
    <x:col min="7" max="7" width="18" customWidth="1"/>
    <x:col min="8" max="8" width="50" customWidth="1"/>
  </x:cols>
  <x:sheetData>
    <x:row r="1">
      <x:c r="A1" s="1" t="inlineStr">
        <x:is>
          <x:t xml:space="preserve">Illustrative EPS × multiple scenario skew</x:t>
        </x:is>
      </x:c>
      <x:c r="B1" s="2" t="n"/>
      <x:c r="C1" s="2" t="n"/>
      <x:c r="D1" s="2" t="n"/>
      <x:c r="E1" s="2" t="n"/>
      <x:c r="F1" s="2" t="n"/>
      <x:c r="G1" s="2" t="n"/>
      <x:c r="H1" s="2" t="n"/>
    </x:row>
    <x:row r="2">
      <x:c r="A2" s="3" t="inlineStr">
        <x:is>
          <x:t xml:space="preserve">Probabilities are analyst assumptions. This is not an approved trade or size.</x:t>
        </x:is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</x:row>
    <x:row r="4">
      <x:c r="A4" s="11" t="inlineStr">
        <x:is>
          <x:t xml:space="preserve">Case</x:t>
        </x:is>
      </x:c>
      <x:c r="B4" s="12" t="inlineStr">
        <x:is>
          <x:t xml:space="preserve">Probability</x:t>
        </x:is>
      </x:c>
      <x:c r="C4" s="12" t="inlineStr">
        <x:is>
          <x:t xml:space="preserve">D&amp;A factor</x:t>
        </x:is>
      </x:c>
      <x:c r="D4" s="12" t="inlineStr">
        <x:is>
          <x:t xml:space="preserve">EBITDA offset</x:t>
        </x:is>
      </x:c>
      <x:c r="E4" s="12" t="inlineStr">
        <x:is>
          <x:t xml:space="preserve">Exit multiple</x:t>
        </x:is>
      </x:c>
      <x:c r="F4" s="12" t="inlineStr">
        <x:is>
          <x:t xml:space="preserve">FY2027 EPS</x:t>
        </x:is>
      </x:c>
      <x:c r="G4" s="12" t="inlineStr">
        <x:is>
          <x:t xml:space="preserve">Target</x:t>
        </x:is>
      </x:c>
      <x:c r="H4" s="12" t="inlineStr">
        <x:is>
          <x:t xml:space="preserve">Basis</x:t>
        </x:is>
      </x:c>
    </x:row>
    <x:row r="5">
      <x:c r="A5" s="2" t="inlineStr">
        <x:is>
          <x:t xml:space="preserve">Stock bear / short works</x:t>
        </x:is>
      </x:c>
      <x:c r="B5" s="15" t="n">
        <x:v>0.25</x:v>
      </x:c>
      <x:c r="C5" s="18" t="n">
        <x:v>1.1</x:v>
      </x:c>
      <x:c r="D5" s="15" t="n">
        <x:v>0.4</x:v>
      </x:c>
      <x:c r="E5" s="19" t="n">
        <x:v>20</x:v>
      </x:c>
      <x:c r="F5" s="20" t="n">
        <x:f>Drivers!B35-((Variant!B7*C5-Variant!B6)*(1-D5))*(1-Drivers!C9)/'Share Bridge'!B11</x:f>
        <x:v>13.695337624124328</x:v>
      </x:c>
      <x:c r="G5" s="20" t="n">
        <x:f>F5*E5</x:f>
        <x:v>273.9067524824866</x:v>
      </x:c>
      <x:c r="H5" s="10" t="inlineStr">
        <x:is>
          <x:t xml:space="preserve">D&amp;A reaches or exceeds path; EBITDA offsets &lt;50%; multiple compresses.</x:t>
        </x:is>
      </x:c>
    </x:row>
    <x:row r="6">
      <x:c r="A6" s="2" t="inlineStr">
        <x:is>
          <x:t xml:space="preserve">Base / wait</x:t>
        </x:is>
      </x:c>
      <x:c r="B6" s="15" t="n">
        <x:v>0.5</x:v>
      </x:c>
      <x:c r="C6" s="18" t="n">
        <x:v>1</x:v>
      </x:c>
      <x:c r="D6" s="15" t="n">
        <x:v>0.75</x:v>
      </x:c>
      <x:c r="E6" s="19" t="n">
        <x:v>23</x:v>
      </x:c>
      <x:c r="F6" s="20" t="n">
        <x:f>Drivers!B35-((Variant!B7*C6-Variant!B6)*(1-D6))*(1-Drivers!C9)/'Share Bridge'!B11</x:f>
        <x:v>14.5513150437059</x:v>
      </x:c>
      <x:c r="G6" s="20" t="n">
        <x:f>F6*E6</x:f>
        <x:v>334.6802460052357</x:v>
      </x:c>
      <x:c r="H6" s="10" t="inlineStr">
        <x:is>
          <x:t xml:space="preserve">D&amp;A rises, but most of the charge is absorbed; catalyst is insufficient.</x:t>
        </x:is>
      </x:c>
    </x:row>
    <x:row r="7">
      <x:c r="A7" s="2" t="inlineStr">
        <x:is>
          <x:t xml:space="preserve">Stock bull / short loses</x:t>
        </x:is>
      </x:c>
      <x:c r="B7" s="15" t="n">
        <x:v>0.25</x:v>
      </x:c>
      <x:c r="C7" s="18" t="n">
        <x:v>0.85</x:v>
      </x:c>
      <x:c r="D7" s="15" t="n">
        <x:v>1.25</x:v>
      </x:c>
      <x:c r="E7" s="19" t="n">
        <x:v>26</x:v>
      </x:c>
      <x:c r="F7" s="20" t="n">
        <x:f>Drivers!B35-((Variant!B7*C7-Variant!B6)*(1-D7))*(1-Drivers!C9)/'Share Bridge'!B11</x:f>
        <x:v>15.323404655812958</x:v>
      </x:c>
      <x:c r="G7" s="20" t="n">
        <x:f>F7*E7</x:f>
        <x:v>398.4085210511369</x:v>
      </x:c>
      <x:c r="H7" s="10" t="inlineStr">
        <x:is>
          <x:t xml:space="preserve">Commissioning is slower and EBITDA more than offsets the D&amp;A surprise.</x:t>
        </x:is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8" customWidth="1"/>
    <x:col min="2" max="2" width="20" customWidth="1"/>
    <x:col min="3" max="3" width="18" customWidth="1"/>
    <x:col min="4" max="4" width="56" customWidth="1"/>
  </x:cols>
  <x:sheetData>
    <x:row r="1">
      <x:c r="A1" s="1" t="inlineStr">
        <x:is>
          <x:t xml:space="preserve">CAPM and capital-structure build</x:t>
        </x:is>
      </x:c>
      <x:c r="B1" s="2" t="n"/>
      <x:c r="C1" s="2" t="n"/>
      <x:c r="D1" s="2" t="n"/>
    </x:row>
    <x:row r="2">
      <x:c r="A2" s="3" t="inlineStr">
        <x:is>
          <x:t xml:space="preserve">Market-value weights; preferred is if-converted and therefore sits in equity, not a separate deduction.</x:t>
        </x:is>
      </x:c>
      <x:c r="B2" s="2" t="n"/>
      <x:c r="C2" s="2" t="n"/>
      <x:c r="D2" s="2" t="n"/>
    </x:row>
    <x:row r="3">
      <x:c r="A3" s="2" t="n"/>
      <x:c r="B3" s="2" t="n"/>
      <x:c r="C3" s="2" t="n"/>
      <x:c r="D3" s="2" t="n"/>
    </x:row>
    <x:row r="4">
      <x:c r="A4" s="11" t="inlineStr">
        <x:is>
          <x:t xml:space="preserve">Input / calculation</x:t>
        </x:is>
      </x:c>
      <x:c r="B4" s="12" t="inlineStr">
        <x:is>
          <x:t xml:space="preserve">Value</x:t>
        </x:is>
      </x:c>
      <x:c r="C4" s="12" t="inlineStr">
        <x:is>
          <x:t xml:space="preserve">Evidence</x:t>
        </x:is>
      </x:c>
      <x:c r="D4" s="12" t="inlineStr">
        <x:is>
          <x:t xml:space="preserve">Note</x:t>
        </x:is>
      </x:c>
    </x:row>
    <x:row r="5">
      <x:c r="A5" s="21" t="inlineStr">
        <x:is>
          <x:t xml:space="preserve">Risk-free rate</x:t>
        </x:is>
      </x:c>
      <x:c r="B5" s="22" t="n">
        <x:v>0.0465</x:v>
      </x:c>
      <x:c r="C5" s="2" t="inlineStr">
        <x:is>
          <x:t xml:space="preserve">S4</x:t>
        </x:is>
      </x:c>
      <x:c r="D5" s="3" t="inlineStr">
        <x:is>
          <x:t xml:space="preserve">10-year Treasury par yield, 2026-08-07</x:t>
        </x:is>
      </x:c>
    </x:row>
    <x:row r="6">
      <x:c r="A6" s="21" t="inlineStr">
        <x:is>
          <x:t xml:space="preserve">Levered beta</x:t>
        </x:is>
      </x:c>
      <x:c r="B6" s="18" t="n">
        <x:v>0.95</x:v>
      </x:c>
      <x:c r="C6" s="2" t="inlineStr">
        <x:is>
          <x:t xml:space="preserve">A1</x:t>
        </x:is>
      </x:c>
      <x:c r="D6" s="3" t="inlineStr">
        <x:is>
          <x:t xml:space="preserve">Analyst assumption; refresh before risk</x:t>
        </x:is>
      </x:c>
    </x:row>
    <x:row r="7">
      <x:c r="A7" s="21" t="inlineStr">
        <x:is>
          <x:t xml:space="preserve">Equity risk premium</x:t>
        </x:is>
      </x:c>
      <x:c r="B7" s="22" t="n">
        <x:v>0.045</x:v>
      </x:c>
      <x:c r="C7" s="2" t="inlineStr">
        <x:is>
          <x:t xml:space="preserve">A1</x:t>
        </x:is>
      </x:c>
      <x:c r="D7" s="3" t="inlineStr">
        <x:is>
          <x:t xml:space="preserve">Analyst assumption; refresh before risk</x:t>
        </x:is>
      </x:c>
    </x:row>
    <x:row r="8">
      <x:c r="A8" s="4" t="inlineStr">
        <x:is>
          <x:t xml:space="preserve">Cost of equity</x:t>
        </x:is>
      </x:c>
      <x:c r="B8" s="23" t="n">
        <x:f>B5+B6*B7</x:f>
        <x:v>0.08925</x:v>
      </x:c>
      <x:c r="C8" s="2" t="inlineStr">
        <x:is>
          <x:t xml:space="preserve">Formula</x:t>
        </x:is>
      </x:c>
      <x:c r="D8" s="3" t="inlineStr">
        <x:is>
          <x:t xml:space="preserve">CAPM</x:t>
        </x:is>
      </x:c>
    </x:row>
    <x:row r="9">
      <x:c r="A9" s="21" t="inlineStr">
        <x:is>
          <x:t xml:space="preserve">Pretax cost of debt</x:t>
        </x:is>
      </x:c>
      <x:c r="B9" s="22" t="n">
        <x:v>0.048</x:v>
      </x:c>
      <x:c r="C9" s="2" t="inlineStr">
        <x:is>
          <x:t xml:space="preserve">S1</x:t>
        </x:is>
      </x:c>
      <x:c r="D9" s="3" t="inlineStr">
        <x:is>
          <x:t xml:space="preserve">4.80% weighted-average coupon disclosed for 2026 USD notes</x:t>
        </x:is>
      </x:c>
    </x:row>
    <x:row r="10">
      <x:c r="A10" s="21" t="inlineStr">
        <x:is>
          <x:t xml:space="preserve">Marginal tax rate</x:t>
        </x:is>
      </x:c>
      <x:c r="B10" s="15" t="n">
        <x:v>0.185</x:v>
      </x:c>
      <x:c r="C10" s="2" t="inlineStr">
        <x:is>
          <x:t xml:space="preserve">A1</x:t>
        </x:is>
      </x:c>
      <x:c r="D10" s="3" t="inlineStr">
        <x:is>
          <x:t xml:space="preserve">Operating valuation assumption</x:t>
        </x:is>
      </x:c>
    </x:row>
    <x:row r="11">
      <x:c r="A11" s="21" t="inlineStr">
        <x:is>
          <x:t xml:space="preserve">After-tax debt cost</x:t>
        </x:is>
      </x:c>
      <x:c r="B11" s="23" t="n">
        <x:f>B9*(1-B10)</x:f>
        <x:v>0.039119999999999995</x:v>
      </x:c>
      <x:c r="C11" s="2" t="inlineStr">
        <x:is>
          <x:t xml:space="preserve">Formula</x:t>
        </x:is>
      </x:c>
      <x:c r="D11" s="3" t="inlineStr">
        <x:is>
          <x:t xml:space="preserve"/>
        </x:is>
      </x:c>
    </x:row>
    <x:row r="12">
      <x:c r="A12" s="21" t="inlineStr">
        <x:is>
          <x:t xml:space="preserve">Equity market value</x:t>
        </x:is>
      </x:c>
      <x:c r="B12" s="14" t="n">
        <x:f>Drivers!B14*'Share Bridge'!B11</x:f>
        <x:v>4398088948560</x:v>
      </x:c>
      <x:c r="C12" s="2" t="inlineStr">
        <x:is>
          <x:t xml:space="preserve">Formula</x:t>
        </x:is>
      </x:c>
      <x:c r="D12" s="3" t="inlineStr">
        <x:is>
          <x:t xml:space="preserve">Spot × point diluted shares</x:t>
        </x:is>
      </x:c>
    </x:row>
    <x:row r="13">
      <x:c r="A13" s="21" t="inlineStr">
        <x:is>
          <x:t xml:space="preserve">Debt</x:t>
        </x:is>
      </x:c>
      <x:c r="B13" s="13" t="n">
        <x:v>100164000000</x:v>
      </x:c>
      <x:c r="C13" s="2" t="inlineStr">
        <x:is>
          <x:t xml:space="preserve">S1</x:t>
        </x:is>
      </x:c>
      <x:c r="D13" s="3" t="inlineStr">
        <x:is>
          <x:t xml:space="preserve">June 30 balance sheet</x:t>
        </x:is>
      </x:c>
    </x:row>
    <x:row r="14">
      <x:c r="A14" s="21" t="inlineStr">
        <x:is>
          <x:t xml:space="preserve">Equity weight</x:t>
        </x:is>
      </x:c>
      <x:c r="B14" s="24" t="n">
        <x:f>B12/(B12+B13)</x:f>
        <x:v>0.9777326884136063</x:v>
      </x:c>
      <x:c r="C14" s="2" t="inlineStr">
        <x:is>
          <x:t xml:space="preserve">Formula</x:t>
        </x:is>
      </x:c>
      <x:c r="D14" s="3" t="inlineStr">
        <x:is>
          <x:t xml:space="preserve"/>
        </x:is>
      </x:c>
    </x:row>
    <x:row r="15">
      <x:c r="A15" s="4" t="inlineStr">
        <x:is>
          <x:t xml:space="preserve">WACC</x:t>
        </x:is>
      </x:c>
      <x:c r="B15" s="8" t="n">
        <x:f>B14*B8+(1-B14)*B11</x:f>
        <x:v>0.08813373967017409</x:v>
      </x:c>
      <x:c r="C15" s="2" t="inlineStr">
        <x:is>
          <x:t xml:space="preserve">Formula</x:t>
        </x:is>
      </x:c>
      <x:c r="D15" s="3" t="inlineStr">
        <x:is>
          <x:t xml:space="preserve">Single base WACC definition</x:t>
        </x:is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42" customWidth="1"/>
    <x:col min="2" max="2" width="22" customWidth="1"/>
    <x:col min="3" max="3" width="22" customWidth="1"/>
    <x:col min="4" max="4" width="56" customWidth="1"/>
  </x:cols>
  <x:sheetData>
    <x:row r="1">
      <x:c r="A1" s="1" t="inlineStr">
        <x:is>
          <x:t xml:space="preserve">Point-in-time diluted share bridge</x:t>
        </x:is>
      </x:c>
      <x:c r="B1" s="2" t="n"/>
      <x:c r="C1" s="2" t="n"/>
      <x:c r="D1" s="2" t="n"/>
    </x:row>
    <x:row r="2">
      <x:c r="A2" s="3" t="inlineStr">
        <x:is>
          <x:t xml:space="preserve">The Q2 weighted-average diluted share count is not used as the valuation denominator.</x:t>
        </x:is>
      </x:c>
      <x:c r="B2" s="2" t="n"/>
      <x:c r="C2" s="2" t="n"/>
      <x:c r="D2" s="2" t="n"/>
    </x:row>
    <x:row r="3">
      <x:c r="A3" s="2" t="n"/>
      <x:c r="B3" s="2" t="n"/>
      <x:c r="C3" s="2" t="n"/>
      <x:c r="D3" s="2" t="n"/>
    </x:row>
    <x:row r="4">
      <x:c r="A4" s="11" t="inlineStr">
        <x:is>
          <x:t xml:space="preserve">Line</x:t>
        </x:is>
      </x:c>
      <x:c r="B4" s="12" t="inlineStr">
        <x:is>
          <x:t xml:space="preserve">Shares</x:t>
        </x:is>
      </x:c>
      <x:c r="C4" s="12" t="inlineStr">
        <x:is>
          <x:t xml:space="preserve">Evidence</x:t>
        </x:is>
      </x:c>
      <x:c r="D4" s="12" t="inlineStr">
        <x:is>
          <x:t xml:space="preserve">Treatment</x:t>
        </x:is>
      </x:c>
    </x:row>
    <x:row r="5">
      <x:c r="A5" s="21" t="inlineStr">
        <x:is>
          <x:t xml:space="preserve">Class A/B/C outstanding, 2026-07-15</x:t>
        </x:is>
      </x:c>
      <x:c r="B5" s="25" t="n">
        <x:v>12230000000</x:v>
      </x:c>
      <x:c r="C5" s="2" t="inlineStr">
        <x:is>
          <x:t xml:space="preserve">S1</x:t>
        </x:is>
      </x:c>
      <x:c r="D5" s="10" t="inlineStr">
        <x:is>
          <x:t xml:space="preserve">Point-in-time common shares</x:t>
        </x:is>
      </x:c>
    </x:row>
    <x:row r="6">
      <x:c r="A6" s="21" t="inlineStr">
        <x:is>
          <x:t xml:space="preserve">Ordinary dilution (RSUs / contingent shares)</x:t>
        </x:is>
      </x:c>
      <x:c r="B6" s="25" t="n">
        <x:v>142000000</x:v>
      </x:c>
      <x:c r="C6" s="2" t="inlineStr">
        <x:is>
          <x:t xml:space="preserve">S1</x:t>
        </x:is>
      </x:c>
      <x:c r="D6" s="10" t="inlineStr">
        <x:is>
          <x:t xml:space="preserve">Filed Q2 dilution component</x:t>
        </x:is>
      </x:c>
    </x:row>
    <x:row r="7">
      <x:c r="A7" s="21" t="inlineStr">
        <x:is>
          <x:t xml:space="preserve">Q2 basic weighted-average shares</x:t>
        </x:is>
      </x:c>
      <x:c r="B7" s="25" t="n">
        <x:v>12151000000</x:v>
      </x:c>
      <x:c r="C7" s="2" t="inlineStr">
        <x:is>
          <x:t xml:space="preserve">S1</x:t>
        </x:is>
      </x:c>
      <x:c r="D7" s="10" t="inlineStr">
        <x:is>
          <x:t xml:space="preserve">Reference only</x:t>
        </x:is>
      </x:c>
    </x:row>
    <x:row r="8">
      <x:c r="A8" s="21" t="inlineStr">
        <x:is>
          <x:t xml:space="preserve">Q2 diluted weighted-average shares</x:t>
        </x:is>
      </x:c>
      <x:c r="B8" s="25" t="n">
        <x:v>12309000000</x:v>
      </x:c>
      <x:c r="C8" s="2" t="inlineStr">
        <x:is>
          <x:t xml:space="preserve">S1</x:t>
        </x:is>
      </x:c>
      <x:c r="D8" s="10" t="inlineStr">
        <x:is>
          <x:t xml:space="preserve">Reference only; not valuation denominator</x:t>
        </x:is>
      </x:c>
    </x:row>
    <x:row r="9">
      <x:c r="A9" s="21" t="inlineStr">
        <x:is>
          <x:t xml:space="preserve">Series A preferred, minimum conversion</x:t>
        </x:is>
      </x:c>
      <x:c r="B9" s="25" t="n">
        <x:v>21675500</x:v>
      </x:c>
      <x:c r="C9" s="2" t="inlineStr">
        <x:is>
          <x:t xml:space="preserve">S1</x:t>
        </x:is>
      </x:c>
      <x:c r="D9" s="10" t="inlineStr">
        <x:is>
          <x:t xml:space="preserve">If-converted</x:t>
        </x:is>
      </x:c>
    </x:row>
    <x:row r="10">
      <x:c r="A10" s="21" t="inlineStr">
        <x:is>
          <x:t xml:space="preserve">Series B preferred, minimum conversion</x:t>
        </x:is>
      </x:c>
      <x:c r="B10" s="25" t="n">
        <x:v>21887250</x:v>
      </x:c>
      <x:c r="C10" s="2" t="inlineStr">
        <x:is>
          <x:t xml:space="preserve">S1</x:t>
        </x:is>
      </x:c>
      <x:c r="D10" s="10" t="inlineStr">
        <x:is>
          <x:t xml:space="preserve">If-converted</x:t>
        </x:is>
      </x:c>
    </x:row>
    <x:row r="11">
      <x:c r="A11" s="4" t="inlineStr">
        <x:is>
          <x:t xml:space="preserve">Point-in-time diluted shares</x:t>
        </x:is>
      </x:c>
      <x:c r="B11" s="26" t="n">
        <x:f>B5+B6+B9+B10</x:f>
        <x:v>12415562750</x:v>
      </x:c>
      <x:c r="C11" s="2" t="inlineStr">
        <x:is>
          <x:t xml:space="preserve">Formula</x:t>
        </x:is>
      </x:c>
      <x:c r="D11" s="10" t="inlineStr">
        <x:is>
          <x:t xml:space="preserve">Used in valuation</x:t>
        </x:is>
      </x:c>
    </x:row>
    <x:row r="12">
      <x:c r="A12" s="21" t="inlineStr">
        <x:is>
          <x:t xml:space="preserve">Preferred equity deduction</x:t>
        </x:is>
      </x:c>
      <x:c r="B12" s="25" t="n">
        <x:v>0</x:v>
      </x:c>
      <x:c r="C12" s="2" t="inlineStr">
        <x:is>
          <x:t xml:space="preserve">Formula</x:t>
        </x:is>
      </x:c>
      <x:c r="D12" s="10" t="inlineStr">
        <x:is>
          <x:t xml:space="preserve">Zero: preferred dilution already included</x:t>
        </x:is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4" customWidth="1"/>
    <x:col min="2" max="2" width="17" customWidth="1"/>
    <x:col min="3" max="3" width="17" customWidth="1"/>
    <x:col min="4" max="4" width="17" customWidth="1"/>
    <x:col min="5" max="5" width="17" customWidth="1"/>
    <x:col min="6" max="6" width="17" customWidth="1"/>
    <x:col min="7" max="7" width="17" customWidth="1"/>
    <x:col min="8" max="8" width="48" customWidth="1"/>
  </x:cols>
  <x:sheetData>
    <x:row r="1">
      <x:c r="A1" s="1" t="inlineStr">
        <x:is>
          <x:t xml:space="preserve">Revenue build and H1/stub split</x:t>
        </x:is>
      </x:c>
      <x:c r="B1" s="2" t="n"/>
      <x:c r="C1" s="2" t="n"/>
      <x:c r="D1" s="2" t="n"/>
      <x:c r="E1" s="2" t="n"/>
      <x:c r="F1" s="2" t="n"/>
      <x:c r="G1" s="2" t="n"/>
      <x:c r="H1" s="2" t="n"/>
    </x:row>
    <x:row r="2">
      <x:c r="A2" s="3" t="inlineStr">
        <x:is>
          <x:t xml:space="preserve">2026 full-year revenue is H1 actual plus forecast H2; DCF includes only the remaining 2026 stub.</x:t>
        </x:is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</x:row>
    <x:row r="4">
      <x:c r="A4" s="11" t="inlineStr">
        <x:is>
          <x:t xml:space="preserve">Line</x:t>
        </x:is>
      </x:c>
      <x:c r="B4" s="12" t="inlineStr">
        <x:is>
          <x:t xml:space="preserve">2026</x:t>
        </x:is>
      </x:c>
      <x:c r="C4" s="12" t="inlineStr">
        <x:is>
          <x:t xml:space="preserve">2027</x:t>
        </x:is>
      </x:c>
      <x:c r="D4" s="12" t="inlineStr">
        <x:is>
          <x:t xml:space="preserve">2028</x:t>
        </x:is>
      </x:c>
      <x:c r="E4" s="12" t="inlineStr">
        <x:is>
          <x:t xml:space="preserve">2029</x:t>
        </x:is>
      </x:c>
      <x:c r="F4" s="12" t="inlineStr">
        <x:is>
          <x:t xml:space="preserve">2030</x:t>
        </x:is>
      </x:c>
      <x:c r="G4" s="12" t="inlineStr">
        <x:is>
          <x:t xml:space="preserve">2031</x:t>
        </x:is>
      </x:c>
      <x:c r="H4" s="12" t="inlineStr">
        <x:is>
          <x:t xml:space="preserve">Note</x:t>
        </x:is>
      </x:c>
    </x:row>
    <x:row r="5">
      <x:c r="A5" s="2" t="inlineStr">
        <x:is>
          <x:t xml:space="preserve">Full-year revenue</x:t>
        </x:is>
      </x:c>
      <x:c r="B5" s="27" t="n">
        <x:f>Drivers!B5</x:f>
        <x:v>498422507321</x:v>
      </x:c>
      <x:c r="C5" s="27" t="n">
        <x:f>Drivers!C5</x:f>
        <x:v>577322790229.9143</x:v>
      </x:c>
      <x:c r="D5" s="27" t="n">
        <x:f>Drivers!D5</x:f>
        <x:v>655780957422.1597</x:v>
      </x:c>
      <x:c r="E5" s="27" t="n">
        <x:f>Drivers!E5</x:f>
        <x:v>734736984695.7877</x:v>
      </x:c>
      <x:c r="F5" s="27" t="n">
        <x:f>Drivers!F5</x:f>
        <x:v>814309000138.3416</x:v>
      </x:c>
      <x:c r="G5" s="27" t="n">
        <x:f>Drivers!G5</x:f>
        <x:v>891912647851.5255</x:v>
      </x:c>
      <x:c r="H5" s="2" t="n"/>
    </x:row>
    <x:row r="6">
      <x:c r="A6" s="2" t="inlineStr">
        <x:is>
          <x:t xml:space="preserve">Growth</x:t>
        </x:is>
      </x:c>
      <x:c r="B6" s="24" t="n">
        <x:f>Drivers!B6</x:f>
        <x:v>0</x:v>
      </x:c>
      <x:c r="C6" s="24" t="n">
        <x:f>Drivers!C6</x:f>
        <x:v>0.1583</x:v>
      </x:c>
      <x:c r="D6" s="24" t="n">
        <x:f>Drivers!D6</x:f>
        <x:v>0.1359</x:v>
      </x:c>
      <x:c r="E6" s="24" t="n">
        <x:f>Drivers!E6</x:f>
        <x:v>0.1204</x:v>
      </x:c>
      <x:c r="F6" s="24" t="n">
        <x:f>Drivers!F6</x:f>
        <x:v>0.1083</x:v>
      </x:c>
      <x:c r="G6" s="24" t="n">
        <x:f>Drivers!G6</x:f>
        <x:v>0.0953</x:v>
      </x:c>
      <x:c r="H6" s="2" t="n"/>
    </x:row>
    <x:row r="7">
      <x:c r="A7" s="2" t="n"/>
      <x:c r="B7" s="2" t="n"/>
      <x:c r="C7" s="2" t="n"/>
      <x:c r="D7" s="2" t="n"/>
      <x:c r="E7" s="2" t="n"/>
      <x:c r="F7" s="2" t="n"/>
      <x:c r="G7" s="2" t="n"/>
      <x:c r="H7" s="2" t="n"/>
    </x:row>
    <x:row r="8">
      <x:c r="A8" s="2" t="inlineStr">
        <x:is>
          <x:t xml:space="preserve">Reported H1 2026 revenue</x:t>
        </x:is>
      </x:c>
      <x:c r="B8" s="14" t="n">
        <x:f>Drivers!B17</x:f>
        <x:v>229692000000</x:v>
      </x:c>
      <x:c r="C8" s="2" t="n"/>
      <x:c r="D8" s="2" t="n"/>
      <x:c r="E8" s="2" t="n"/>
      <x:c r="F8" s="2" t="n"/>
      <x:c r="G8" s="2" t="n"/>
      <x:c r="H8" s="2" t="n"/>
    </x:row>
    <x:row r="9">
      <x:c r="A9" s="2" t="inlineStr">
        <x:is>
          <x:t xml:space="preserve">Forecast H2 2026 revenue</x:t>
        </x:is>
      </x:c>
      <x:c r="B9" s="14" t="n">
        <x:f>B5-B8</x:f>
        <x:v>268730507321</x:v>
      </x:c>
      <x:c r="C9" s="2" t="n"/>
      <x:c r="D9" s="2" t="n"/>
      <x:c r="E9" s="2" t="n"/>
      <x:c r="F9" s="2" t="n"/>
      <x:c r="G9" s="2" t="n"/>
      <x:c r="H9" s="2" t="n"/>
    </x:row>
    <x:row r="10">
      <x:c r="A10" s="2" t="inlineStr">
        <x:is>
          <x:t xml:space="preserve">Remaining stub fraction</x:t>
        </x:is>
      </x:c>
      <x:c r="B10" s="24" t="n">
        <x:f>146/184</x:f>
        <x:v>0.7934782608695652</x:v>
      </x:c>
      <x:c r="C10" s="2" t="n"/>
      <x:c r="D10" s="2" t="n"/>
      <x:c r="E10" s="2" t="n"/>
      <x:c r="F10" s="2" t="n"/>
      <x:c r="G10" s="2" t="n"/>
      <x:c r="H10" s="2" t="n"/>
    </x:row>
    <x:row r="11">
      <x:c r="A11" s="2" t="inlineStr">
        <x:is>
          <x:t xml:space="preserve">Revenue in DCF stub</x:t>
        </x:is>
      </x:c>
      <x:c r="B11" s="27" t="n">
        <x:f>B9*B10</x:f>
        <x:v>213231815591.66302</x:v>
      </x:c>
      <x:c r="C11" s="2" t="n"/>
      <x:c r="D11" s="2" t="n"/>
      <x:c r="E11" s="2" t="n"/>
      <x:c r="F11" s="2" t="n"/>
      <x:c r="G11" s="2" t="n"/>
      <x:c r="H11" s="2" t="n"/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28" customWidth="1"/>
    <x:col min="2" max="2" width="13" customWidth="1"/>
    <x:col min="3" max="3" width="13" customWidth="1"/>
    <x:col min="4" max="4" width="13" customWidth="1"/>
    <x:col min="5" max="5" width="13" customWidth="1"/>
    <x:col min="6" max="6" width="13" customWidth="1"/>
    <x:col min="7" max="7" width="13" customWidth="1"/>
    <x:col min="8" max="8" width="13" customWidth="1"/>
    <x:col min="9" max="9" width="13" customWidth="1"/>
    <x:col min="10" max="10" width="13" customWidth="1"/>
    <x:col min="11" max="11" width="13" customWidth="1"/>
    <x:col min="12" max="12" width="13" customWidth="1"/>
    <x:col min="13" max="13" width="13" customWidth="1"/>
    <x:col min="14" max="14" width="13" customWidth="1"/>
    <x:col min="15" max="15" width="13" customWidth="1"/>
    <x:col min="16" max="16" width="13" customWidth="1"/>
    <x:col min="17" max="17" width="13" customWidth="1"/>
    <x:col min="18" max="18" width="13" customWidth="1"/>
    <x:col min="19" max="19" width="13" customWidth="1"/>
    <x:col min="20" max="20" width="13" customWidth="1"/>
    <x:col min="21" max="21" width="13" customWidth="1"/>
    <x:col min="22" max="22" width="13" customWidth="1"/>
    <x:col min="23" max="23" width="13" customWidth="1"/>
    <x:col min="24" max="24" width="44" customWidth="1"/>
  </x:cols>
  <x:sheetData>
    <x:row r="1">
      <x:c r="A1" s="1" t="inlineStr">
        <x:is>
          <x:t xml:space="preserve">Quarterly placed-in-service depreciation</x:t>
        </x:is>
      </x:c>
      <x:c r="B1" s="2" t="n"/>
      <x:c r="C1" s="2" t="n"/>
      <x:c r="D1" s="2" t="n"/>
      <x:c r="E1" s="2" t="n"/>
      <x:c r="F1" s="2" t="n"/>
      <x:c r="G1" s="2" t="n"/>
      <x:c r="H1" s="2" t="n"/>
      <x:c r="I1" s="2" t="n"/>
      <x:c r="J1" s="2" t="n"/>
      <x:c r="K1" s="2" t="n"/>
      <x:c r="L1" s="2" t="n"/>
      <x:c r="M1" s="2" t="n"/>
      <x:c r="N1" s="2" t="n"/>
      <x:c r="O1" s="2" t="n"/>
      <x:c r="P1" s="2" t="n"/>
      <x:c r="Q1" s="2" t="n"/>
      <x:c r="R1" s="2" t="n"/>
      <x:c r="S1" s="2" t="n"/>
      <x:c r="T1" s="2" t="n"/>
      <x:c r="U1" s="2" t="n"/>
      <x:c r="V1" s="2" t="n"/>
      <x:c r="W1" s="2" t="n"/>
    </x:row>
    <x:row r="2">
      <x:c r="A2" s="3" t="inlineStr">
        <x:is>
          <x:t xml:space="preserve">Opening D&amp;A is anchored to Q2 reported run-rate. Asset mix, useful lives and lags are explicit analyst assumptions.</x:t>
        </x:is>
      </x:c>
      <x:c r="B2" s="2" t="n"/>
      <x:c r="C2" s="2" t="n"/>
      <x:c r="D2" s="2" t="n"/>
      <x:c r="E2" s="2" t="n"/>
      <x:c r="F2" s="2" t="n"/>
      <x:c r="G2" s="2" t="n"/>
      <x:c r="H2" s="2" t="n"/>
      <x:c r="I2" s="2" t="n"/>
      <x:c r="J2" s="2" t="n"/>
      <x:c r="K2" s="2" t="n"/>
      <x:c r="L2" s="2" t="n"/>
      <x:c r="M2" s="2" t="n"/>
      <x:c r="N2" s="2" t="n"/>
      <x:c r="O2" s="2" t="n"/>
      <x:c r="P2" s="2" t="n"/>
      <x:c r="Q2" s="2" t="n"/>
      <x:c r="R2" s="2" t="n"/>
      <x:c r="S2" s="2" t="n"/>
      <x:c r="T2" s="2" t="n"/>
      <x:c r="U2" s="2" t="n"/>
      <x:c r="V2" s="2" t="n"/>
      <x:c r="W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  <x:c r="I3" s="2" t="n"/>
      <x:c r="J3" s="2" t="n"/>
      <x:c r="K3" s="2" t="n"/>
      <x:c r="L3" s="2" t="n"/>
      <x:c r="M3" s="2" t="n"/>
      <x:c r="N3" s="2" t="n"/>
      <x:c r="O3" s="2" t="n"/>
      <x:c r="P3" s="2" t="n"/>
      <x:c r="Q3" s="2" t="n"/>
      <x:c r="R3" s="2" t="n"/>
      <x:c r="S3" s="2" t="n"/>
      <x:c r="T3" s="2" t="n"/>
      <x:c r="U3" s="2" t="n"/>
      <x:c r="V3" s="2" t="n"/>
      <x:c r="W3" s="2" t="n"/>
    </x:row>
    <x:row r="4">
      <x:c r="A4" s="11" t="inlineStr">
        <x:is>
          <x:t xml:space="preserve">Driver / line</x:t>
        </x:is>
      </x:c>
      <x:c r="B4" s="12" t="inlineStr">
        <x:is>
          <x:t xml:space="preserve">Q3 2026</x:t>
        </x:is>
      </x:c>
      <x:c r="C4" s="12" t="inlineStr">
        <x:is>
          <x:t xml:space="preserve">Q4 2026</x:t>
        </x:is>
      </x:c>
      <x:c r="D4" s="12" t="inlineStr">
        <x:is>
          <x:t xml:space="preserve">Q1 2027</x:t>
        </x:is>
      </x:c>
      <x:c r="E4" s="12" t="inlineStr">
        <x:is>
          <x:t xml:space="preserve">Q2 2027</x:t>
        </x:is>
      </x:c>
      <x:c r="F4" s="12" t="inlineStr">
        <x:is>
          <x:t xml:space="preserve">Q3 2027</x:t>
        </x:is>
      </x:c>
      <x:c r="G4" s="12" t="inlineStr">
        <x:is>
          <x:t xml:space="preserve">Q4 2027</x:t>
        </x:is>
      </x:c>
      <x:c r="H4" s="12" t="inlineStr">
        <x:is>
          <x:t xml:space="preserve">Q1 2028</x:t>
        </x:is>
      </x:c>
      <x:c r="I4" s="12" t="inlineStr">
        <x:is>
          <x:t xml:space="preserve">Q2 2028</x:t>
        </x:is>
      </x:c>
      <x:c r="J4" s="12" t="inlineStr">
        <x:is>
          <x:t xml:space="preserve">Q3 2028</x:t>
        </x:is>
      </x:c>
      <x:c r="K4" s="12" t="inlineStr">
        <x:is>
          <x:t xml:space="preserve">Q4 2028</x:t>
        </x:is>
      </x:c>
      <x:c r="L4" s="12" t="inlineStr">
        <x:is>
          <x:t xml:space="preserve">Q1 2029</x:t>
        </x:is>
      </x:c>
      <x:c r="M4" s="12" t="inlineStr">
        <x:is>
          <x:t xml:space="preserve">Q2 2029</x:t>
        </x:is>
      </x:c>
      <x:c r="N4" s="12" t="inlineStr">
        <x:is>
          <x:t xml:space="preserve">Q3 2029</x:t>
        </x:is>
      </x:c>
      <x:c r="O4" s="12" t="inlineStr">
        <x:is>
          <x:t xml:space="preserve">Q4 2029</x:t>
        </x:is>
      </x:c>
      <x:c r="P4" s="12" t="inlineStr">
        <x:is>
          <x:t xml:space="preserve">Q1 2030</x:t>
        </x:is>
      </x:c>
      <x:c r="Q4" s="12" t="inlineStr">
        <x:is>
          <x:t xml:space="preserve">Q2 2030</x:t>
        </x:is>
      </x:c>
      <x:c r="R4" s="12" t="inlineStr">
        <x:is>
          <x:t xml:space="preserve">Q3 2030</x:t>
        </x:is>
      </x:c>
      <x:c r="S4" s="12" t="inlineStr">
        <x:is>
          <x:t xml:space="preserve">Q4 2030</x:t>
        </x:is>
      </x:c>
      <x:c r="T4" s="12" t="inlineStr">
        <x:is>
          <x:t xml:space="preserve">Q1 2031</x:t>
        </x:is>
      </x:c>
      <x:c r="U4" s="12" t="inlineStr">
        <x:is>
          <x:t xml:space="preserve">Q2 2031</x:t>
        </x:is>
      </x:c>
      <x:c r="V4" s="12" t="inlineStr">
        <x:is>
          <x:t xml:space="preserve">Q3 2031</x:t>
        </x:is>
      </x:c>
      <x:c r="W4" s="12" t="inlineStr">
        <x:is>
          <x:t xml:space="preserve">Q4 2031</x:t>
        </x:is>
      </x:c>
    </x:row>
    <x:row r="5">
      <x:c r="A5" s="2" t="n"/>
      <x:c r="B5" s="2" t="n"/>
      <x:c r="C5" s="2" t="n"/>
      <x:c r="D5" s="2" t="n"/>
      <x:c r="E5" s="2" t="n"/>
      <x:c r="F5" s="2" t="n"/>
      <x:c r="G5" s="2" t="n"/>
      <x:c r="H5" s="2" t="n"/>
      <x:c r="I5" s="2" t="n"/>
      <x:c r="J5" s="2" t="n"/>
      <x:c r="K5" s="2" t="n"/>
      <x:c r="L5" s="2" t="n"/>
      <x:c r="M5" s="2" t="n"/>
      <x:c r="N5" s="2" t="n"/>
      <x:c r="O5" s="2" t="n"/>
      <x:c r="P5" s="2" t="n"/>
      <x:c r="Q5" s="2" t="n"/>
      <x:c r="R5" s="2" t="n"/>
      <x:c r="S5" s="2" t="n"/>
      <x:c r="T5" s="2" t="n"/>
      <x:c r="U5" s="2" t="n"/>
      <x:c r="V5" s="2" t="n"/>
      <x:c r="W5" s="2" t="n"/>
    </x:row>
    <x:row r="6">
      <x:c r="A6" s="2" t="inlineStr">
        <x:is>
          <x:t xml:space="preserve">Servers / machines</x:t>
        </x:is>
      </x:c>
      <x:c r="B6" s="15" t="n">
        <x:v>0.6</x:v>
      </x:c>
      <x:c r="C6" s="28" t="n">
        <x:v>6</x:v>
      </x:c>
      <x:c r="D6" s="29" t="n">
        <x:v>1</x:v>
      </x:c>
      <x:c r="E6" s="2" t="inlineStr">
        <x:is>
          <x:t xml:space="preserve">Mix</x:t>
        </x:is>
      </x:c>
      <x:c r="F6" s="2" t="n"/>
      <x:c r="G6" s="2" t="n"/>
      <x:c r="H6" s="2" t="n"/>
      <x:c r="I6" s="2" t="n"/>
      <x:c r="J6" s="2" t="n"/>
      <x:c r="K6" s="2" t="n"/>
      <x:c r="L6" s="2" t="n"/>
      <x:c r="M6" s="2" t="n"/>
      <x:c r="N6" s="2" t="n"/>
      <x:c r="O6" s="2" t="n"/>
      <x:c r="P6" s="2" t="n"/>
      <x:c r="Q6" s="2" t="n"/>
      <x:c r="R6" s="2" t="n"/>
      <x:c r="S6" s="2" t="n"/>
      <x:c r="T6" s="2" t="n"/>
      <x:c r="U6" s="2" t="n"/>
      <x:c r="V6" s="2" t="n"/>
      <x:c r="W6" s="2" t="n"/>
    </x:row>
    <x:row r="7">
      <x:c r="A7" s="2" t="inlineStr">
        <x:is>
          <x:t xml:space="preserve">Network equipment</x:t>
        </x:is>
      </x:c>
      <x:c r="B7" s="15" t="n">
        <x:v>0.2</x:v>
      </x:c>
      <x:c r="C7" s="28" t="n">
        <x:v>6</x:v>
      </x:c>
      <x:c r="D7" s="29" t="n">
        <x:v>2</x:v>
      </x:c>
      <x:c r="E7" s="2" t="inlineStr">
        <x:is>
          <x:t xml:space="preserve">Life years</x:t>
        </x:is>
      </x:c>
      <x:c r="F7" s="2" t="n"/>
      <x:c r="G7" s="2" t="n"/>
      <x:c r="H7" s="2" t="n"/>
      <x:c r="I7" s="2" t="n"/>
      <x:c r="J7" s="2" t="n"/>
      <x:c r="K7" s="2" t="n"/>
      <x:c r="L7" s="2" t="n"/>
      <x:c r="M7" s="2" t="n"/>
      <x:c r="N7" s="2" t="n"/>
      <x:c r="O7" s="2" t="n"/>
      <x:c r="P7" s="2" t="n"/>
      <x:c r="Q7" s="2" t="n"/>
      <x:c r="R7" s="2" t="n"/>
      <x:c r="S7" s="2" t="n"/>
      <x:c r="T7" s="2" t="n"/>
      <x:c r="U7" s="2" t="n"/>
      <x:c r="V7" s="2" t="n"/>
      <x:c r="W7" s="2" t="n"/>
    </x:row>
    <x:row r="8">
      <x:c r="A8" s="2" t="inlineStr">
        <x:is>
          <x:t xml:space="preserve">Buildings / improvements</x:t>
        </x:is>
      </x:c>
      <x:c r="B8" s="15" t="n">
        <x:v>0.2</x:v>
      </x:c>
      <x:c r="C8" s="28" t="n">
        <x:v>25</x:v>
      </x:c>
      <x:c r="D8" s="29" t="n">
        <x:v>4</x:v>
      </x:c>
      <x:c r="E8" s="2" t="inlineStr">
        <x:is>
          <x:t xml:space="preserve">Lag quarters</x:t>
        </x:is>
      </x:c>
      <x:c r="F8" s="2" t="n"/>
      <x:c r="G8" s="2" t="n"/>
      <x:c r="H8" s="2" t="n"/>
      <x:c r="I8" s="2" t="n"/>
      <x:c r="J8" s="2" t="n"/>
      <x:c r="K8" s="2" t="n"/>
      <x:c r="L8" s="2" t="n"/>
      <x:c r="M8" s="2" t="n"/>
      <x:c r="N8" s="2" t="n"/>
      <x:c r="O8" s="2" t="n"/>
      <x:c r="P8" s="2" t="n"/>
      <x:c r="Q8" s="2" t="n"/>
      <x:c r="R8" s="2" t="n"/>
      <x:c r="S8" s="2" t="n"/>
      <x:c r="T8" s="2" t="n"/>
      <x:c r="U8" s="2" t="n"/>
      <x:c r="V8" s="2" t="n"/>
      <x:c r="W8" s="2" t="n"/>
    </x:row>
    <x:row r="9">
      <x:c r="A9" s="2" t="inlineStr">
        <x:is>
          <x:t xml:space="preserve">Q2 opening D&amp;A / quarter</x:t>
        </x:is>
      </x:c>
      <x:c r="B9" s="13" t="n">
        <x:v>7471000000</x:v>
      </x:c>
      <x:c r="C9" s="2" t="n"/>
      <x:c r="D9" s="2" t="n"/>
      <x:c r="E9" s="2" t="n"/>
      <x:c r="F9" s="2" t="n"/>
      <x:c r="G9" s="2" t="n"/>
      <x:c r="H9" s="2" t="n"/>
      <x:c r="I9" s="2" t="n"/>
      <x:c r="J9" s="2" t="n"/>
      <x:c r="K9" s="2" t="n"/>
      <x:c r="L9" s="2" t="n"/>
      <x:c r="M9" s="2" t="n"/>
      <x:c r="N9" s="2" t="n"/>
      <x:c r="O9" s="2" t="n"/>
      <x:c r="P9" s="2" t="n"/>
      <x:c r="Q9" s="2" t="n"/>
      <x:c r="R9" s="2" t="n"/>
      <x:c r="S9" s="2" t="n"/>
      <x:c r="T9" s="2" t="n"/>
      <x:c r="U9" s="2" t="n"/>
      <x:c r="V9" s="2" t="n"/>
      <x:c r="W9" s="2" t="n"/>
    </x:row>
    <x:row r="10">
      <x:c r="A10" s="2" t="n"/>
      <x:c r="B10" s="2" t="n"/>
      <x:c r="C10" s="2" t="n"/>
      <x:c r="D10" s="2" t="n"/>
      <x:c r="E10" s="2" t="n"/>
      <x:c r="F10" s="2" t="n"/>
      <x:c r="G10" s="2" t="n"/>
      <x:c r="H10" s="2" t="n"/>
      <x:c r="I10" s="2" t="n"/>
      <x:c r="J10" s="2" t="n"/>
      <x:c r="K10" s="2" t="n"/>
      <x:c r="L10" s="2" t="n"/>
      <x:c r="M10" s="2" t="n"/>
      <x:c r="N10" s="2" t="n"/>
      <x:c r="O10" s="2" t="n"/>
      <x:c r="P10" s="2" t="n"/>
      <x:c r="Q10" s="2" t="n"/>
      <x:c r="R10" s="2" t="n"/>
      <x:c r="S10" s="2" t="n"/>
      <x:c r="T10" s="2" t="n"/>
      <x:c r="U10" s="2" t="n"/>
      <x:c r="V10" s="2" t="n"/>
      <x:c r="W10" s="2" t="n"/>
    </x:row>
    <x:row r="11">
      <x:c r="A11" s="2" t="n"/>
      <x:c r="B11" s="2" t="n"/>
      <x:c r="C11" s="2" t="n"/>
      <x:c r="D11" s="2" t="n"/>
      <x:c r="E11" s="2" t="n"/>
      <x:c r="F11" s="2" t="n"/>
      <x:c r="G11" s="2" t="n"/>
      <x:c r="H11" s="2" t="n"/>
      <x:c r="I11" s="2" t="n"/>
      <x:c r="J11" s="2" t="n"/>
      <x:c r="K11" s="2" t="n"/>
      <x:c r="L11" s="2" t="n"/>
      <x:c r="M11" s="2" t="n"/>
      <x:c r="N11" s="2" t="n"/>
      <x:c r="O11" s="2" t="n"/>
      <x:c r="P11" s="2" t="n"/>
      <x:c r="Q11" s="2" t="n"/>
      <x:c r="R11" s="2" t="n"/>
      <x:c r="S11" s="2" t="n"/>
      <x:c r="T11" s="2" t="n"/>
      <x:c r="U11" s="2" t="n"/>
      <x:c r="V11" s="2" t="n"/>
      <x:c r="W11" s="2" t="n"/>
    </x:row>
    <x:row r="12">
      <x:c r="A12" s="2" t="inlineStr">
        <x:is>
          <x:t xml:space="preserve">Quarterly capex</x:t>
        </x:is>
      </x:c>
      <x:c r="B12" s="14" t="n">
        <x:f>(Drivers!B8-Drivers!B20)/2</x:f>
        <x:v>59701000000</x:v>
      </x:c>
      <x:c r="C12" s="14" t="n">
        <x:f>(Drivers!B8-Drivers!B20)/2</x:f>
        <x:v>59701000000</x:v>
      </x:c>
      <x:c r="D12" s="14" t="n">
        <x:f>Drivers!C8/4</x:f>
        <x:v>57500000000</x:v>
      </x:c>
      <x:c r="E12" s="14" t="n">
        <x:f>Drivers!C8/4</x:f>
        <x:v>57500000000</x:v>
      </x:c>
      <x:c r="F12" s="14" t="n">
        <x:f>Drivers!C8/4</x:f>
        <x:v>57500000000</x:v>
      </x:c>
      <x:c r="G12" s="14" t="n">
        <x:f>Drivers!C8/4</x:f>
        <x:v>57500000000</x:v>
      </x:c>
      <x:c r="H12" s="14" t="n">
        <x:f>Drivers!D8/4</x:f>
        <x:v>56250000000</x:v>
      </x:c>
      <x:c r="I12" s="14" t="n">
        <x:f>Drivers!D8/4</x:f>
        <x:v>56250000000</x:v>
      </x:c>
      <x:c r="J12" s="14" t="n">
        <x:f>Drivers!D8/4</x:f>
        <x:v>56250000000</x:v>
      </x:c>
      <x:c r="K12" s="14" t="n">
        <x:f>Drivers!D8/4</x:f>
        <x:v>56250000000</x:v>
      </x:c>
      <x:c r="L12" s="14" t="n">
        <x:f>Drivers!E8/4</x:f>
        <x:v>51250000000</x:v>
      </x:c>
      <x:c r="M12" s="14" t="n">
        <x:f>Drivers!E8/4</x:f>
        <x:v>51250000000</x:v>
      </x:c>
      <x:c r="N12" s="14" t="n">
        <x:f>Drivers!E8/4</x:f>
        <x:v>51250000000</x:v>
      </x:c>
      <x:c r="O12" s="14" t="n">
        <x:f>Drivers!E8/4</x:f>
        <x:v>51250000000</x:v>
      </x:c>
      <x:c r="P12" s="14" t="n">
        <x:f>Drivers!F8/4</x:f>
        <x:v>46250000000</x:v>
      </x:c>
      <x:c r="Q12" s="14" t="n">
        <x:f>Drivers!F8/4</x:f>
        <x:v>46250000000</x:v>
      </x:c>
      <x:c r="R12" s="14" t="n">
        <x:f>Drivers!F8/4</x:f>
        <x:v>46250000000</x:v>
      </x:c>
      <x:c r="S12" s="14" t="n">
        <x:f>Drivers!F8/4</x:f>
        <x:v>46250000000</x:v>
      </x:c>
      <x:c r="T12" s="14" t="n">
        <x:f>Drivers!G8/4</x:f>
        <x:v>42500000000</x:v>
      </x:c>
      <x:c r="U12" s="14" t="n">
        <x:f>Drivers!G8/4</x:f>
        <x:v>42500000000</x:v>
      </x:c>
      <x:c r="V12" s="14" t="n">
        <x:f>Drivers!G8/4</x:f>
        <x:v>42500000000</x:v>
      </x:c>
      <x:c r="W12" s="14" t="n">
        <x:f>Drivers!G8/4</x:f>
        <x:v>42500000000</x:v>
      </x:c>
    </x:row>
    <x:row r="13">
      <x:c r="A13" s="2" t="inlineStr">
        <x:is>
          <x:t xml:space="preserve">Opening / legacy D&amp;A</x:t>
        </x:is>
      </x:c>
      <x:c r="B13" s="14" t="n">
        <x:f>$B$9</x:f>
        <x:v>7471000000</x:v>
      </x:c>
      <x:c r="C13" s="14" t="n">
        <x:f>$B$9</x:f>
        <x:v>7471000000</x:v>
      </x:c>
      <x:c r="D13" s="14" t="n">
        <x:f>$B$9</x:f>
        <x:v>7471000000</x:v>
      </x:c>
      <x:c r="E13" s="14" t="n">
        <x:f>$B$9</x:f>
        <x:v>7471000000</x:v>
      </x:c>
      <x:c r="F13" s="14" t="n">
        <x:f>$B$9</x:f>
        <x:v>7471000000</x:v>
      </x:c>
      <x:c r="G13" s="14" t="n">
        <x:f>$B$9</x:f>
        <x:v>7471000000</x:v>
      </x:c>
      <x:c r="H13" s="14" t="n">
        <x:f>$B$9</x:f>
        <x:v>7471000000</x:v>
      </x:c>
      <x:c r="I13" s="14" t="n">
        <x:f>$B$9</x:f>
        <x:v>7471000000</x:v>
      </x:c>
      <x:c r="J13" s="14" t="n">
        <x:f>$B$9</x:f>
        <x:v>7471000000</x:v>
      </x:c>
      <x:c r="K13" s="14" t="n">
        <x:f>$B$9</x:f>
        <x:v>7471000000</x:v>
      </x:c>
      <x:c r="L13" s="14" t="n">
        <x:f>$B$9</x:f>
        <x:v>7471000000</x:v>
      </x:c>
      <x:c r="M13" s="14" t="n">
        <x:f>$B$9</x:f>
        <x:v>7471000000</x:v>
      </x:c>
      <x:c r="N13" s="14" t="n">
        <x:f>$B$9</x:f>
        <x:v>7471000000</x:v>
      </x:c>
      <x:c r="O13" s="14" t="n">
        <x:f>$B$9</x:f>
        <x:v>7471000000</x:v>
      </x:c>
      <x:c r="P13" s="14" t="n">
        <x:f>$B$9</x:f>
        <x:v>7471000000</x:v>
      </x:c>
      <x:c r="Q13" s="14" t="n">
        <x:f>$B$9</x:f>
        <x:v>7471000000</x:v>
      </x:c>
      <x:c r="R13" s="14" t="n">
        <x:f>$B$9</x:f>
        <x:v>7471000000</x:v>
      </x:c>
      <x:c r="S13" s="14" t="n">
        <x:f>$B$9</x:f>
        <x:v>7471000000</x:v>
      </x:c>
      <x:c r="T13" s="14" t="n">
        <x:f>$B$9</x:f>
        <x:v>7471000000</x:v>
      </x:c>
      <x:c r="U13" s="14" t="n">
        <x:f>$B$9</x:f>
        <x:v>7471000000</x:v>
      </x:c>
      <x:c r="V13" s="14" t="n">
        <x:f>$B$9</x:f>
        <x:v>7471000000</x:v>
      </x:c>
      <x:c r="W13" s="14" t="n">
        <x:f>$B$9</x:f>
        <x:v>7471000000</x:v>
      </x:c>
    </x:row>
    <x:row r="14">
      <x:c r="A14" s="2" t="inlineStr">
        <x:is>
          <x:t xml:space="preserve">Forecast-vintage D&amp;A — Servers / machines</x:t>
        </x:is>
      </x:c>
      <x:c r="B14" s="14" t="n">
        <x:f>IF(0&gt;=$D$6,B$12*$B$6/($C$6*4),0)</x:f>
        <x:v>0</x:v>
      </x:c>
      <x:c r="C14" s="14" t="n">
        <x:f>IF(1&gt;=$D$6,B$12*$B$6/($C$6*4),0)+IF(0&gt;=$D$6,C$12*$B$6/($C$6*4),0)</x:f>
        <x:v>1492525000</x:v>
      </x:c>
      <x:c r="D14" s="14" t="n">
        <x:f>IF(2&gt;=$D$6,B$12*$B$6/($C$6*4),0)+IF(1&gt;=$D$6,C$12*$B$6/($C$6*4),0)+IF(0&gt;=$D$6,D$12*$B$6/($C$6*4),0)</x:f>
        <x:v>2985050000</x:v>
      </x:c>
      <x:c r="E14" s="14" t="n">
        <x:f>IF(3&gt;=$D$6,B$12*$B$6/($C$6*4),0)+IF(2&gt;=$D$6,C$12*$B$6/($C$6*4),0)+IF(1&gt;=$D$6,D$12*$B$6/($C$6*4),0)+IF(0&gt;=$D$6,E$12*$B$6/($C$6*4),0)</x:f>
        <x:v>4422550000</x:v>
      </x:c>
      <x:c r="F14" s="14" t="n">
        <x:f>IF(4&gt;=$D$6,B$12*$B$6/($C$6*4),0)+IF(3&gt;=$D$6,C$12*$B$6/($C$6*4),0)+IF(2&gt;=$D$6,D$12*$B$6/($C$6*4),0)+IF(1&gt;=$D$6,E$12*$B$6/($C$6*4),0)+IF(0&gt;=$D$6,F$12*$B$6/($C$6*4),0)</x:f>
        <x:v>5860050000</x:v>
      </x:c>
      <x:c r="G14" s="14" t="n">
        <x:f>IF(5&gt;=$D$6,B$12*$B$6/($C$6*4),0)+IF(4&gt;=$D$6,C$12*$B$6/($C$6*4),0)+IF(3&gt;=$D$6,D$12*$B$6/($C$6*4),0)+IF(2&gt;=$D$6,E$12*$B$6/($C$6*4),0)+IF(1&gt;=$D$6,F$12*$B$6/($C$6*4),0)+IF(0&gt;=$D$6,G$12*$B$6/($C$6*4),0)</x:f>
        <x:v>7297550000</x:v>
      </x:c>
      <x:c r="H14" s="14" t="n">
        <x:f>IF(6&gt;=$D$6,B$12*$B$6/($C$6*4),0)+IF(5&gt;=$D$6,C$12*$B$6/($C$6*4),0)+IF(4&gt;=$D$6,D$12*$B$6/($C$6*4),0)+IF(3&gt;=$D$6,E$12*$B$6/($C$6*4),0)+IF(2&gt;=$D$6,F$12*$B$6/($C$6*4),0)+IF(1&gt;=$D$6,G$12*$B$6/($C$6*4),0)+IF(0&gt;=$D$6,H$12*$B$6/($C$6*4),0)</x:f>
        <x:v>8735050000</x:v>
      </x:c>
      <x:c r="I14" s="14" t="n">
        <x:f>IF(7&gt;=$D$6,B$12*$B$6/($C$6*4),0)+IF(6&gt;=$D$6,C$12*$B$6/($C$6*4),0)+IF(5&gt;=$D$6,D$12*$B$6/($C$6*4),0)+IF(4&gt;=$D$6,E$12*$B$6/($C$6*4),0)+IF(3&gt;=$D$6,F$12*$B$6/($C$6*4),0)+IF(2&gt;=$D$6,G$12*$B$6/($C$6*4),0)+IF(1&gt;=$D$6,H$12*$B$6/($C$6*4),0)+IF(0&gt;=$D$6,I$12*$B$6/($C$6*4),0)</x:f>
        <x:v>10141300000</x:v>
      </x:c>
      <x:c r="J14" s="14" t="n">
        <x:f>IF(8&gt;=$D$6,B$12*$B$6/($C$6*4),0)+IF(7&gt;=$D$6,C$12*$B$6/($C$6*4),0)+IF(6&gt;=$D$6,D$12*$B$6/($C$6*4),0)+IF(5&gt;=$D$6,E$12*$B$6/($C$6*4),0)+IF(4&gt;=$D$6,F$12*$B$6/($C$6*4),0)+IF(3&gt;=$D$6,G$12*$B$6/($C$6*4),0)+IF(2&gt;=$D$6,H$12*$B$6/($C$6*4),0)+IF(1&gt;=$D$6,I$12*$B$6/($C$6*4),0)+IF(0&gt;=$D$6,J$12*$B$6/($C$6*4),0)</x:f>
        <x:v>11547550000</x:v>
      </x:c>
      <x:c r="K14" s="14" t="n">
        <x:f>IF(9&gt;=$D$6,B$12*$B$6/($C$6*4),0)+IF(8&gt;=$D$6,C$12*$B$6/($C$6*4),0)+IF(7&gt;=$D$6,D$12*$B$6/($C$6*4),0)+IF(6&gt;=$D$6,E$12*$B$6/($C$6*4),0)+IF(5&gt;=$D$6,F$12*$B$6/($C$6*4),0)+IF(4&gt;=$D$6,G$12*$B$6/($C$6*4),0)+IF(3&gt;=$D$6,H$12*$B$6/($C$6*4),0)+IF(2&gt;=$D$6,I$12*$B$6/($C$6*4),0)+IF(1&gt;=$D$6,J$12*$B$6/($C$6*4),0)+IF(0&gt;=$D$6,K$12*$B$6/($C$6*4),0)</x:f>
        <x:v>12953800000</x:v>
      </x:c>
      <x:c r="L14" s="14" t="n">
        <x:f>IF(10&gt;=$D$6,B$12*$B$6/($C$6*4),0)+IF(9&gt;=$D$6,C$12*$B$6/($C$6*4),0)+IF(8&gt;=$D$6,D$12*$B$6/($C$6*4),0)+IF(7&gt;=$D$6,E$12*$B$6/($C$6*4),0)+IF(6&gt;=$D$6,F$12*$B$6/($C$6*4),0)+IF(5&gt;=$D$6,G$12*$B$6/($C$6*4),0)+IF(4&gt;=$D$6,H$12*$B$6/($C$6*4),0)+IF(3&gt;=$D$6,I$12*$B$6/($C$6*4),0)+IF(2&gt;=$D$6,J$12*$B$6/($C$6*4),0)+IF(1&gt;=$D$6,K$12*$B$6/($C$6*4),0)+IF(0&gt;=$D$6,L$12*$B$6/($C$6*4),0)</x:f>
        <x:v>14360050000</x:v>
      </x:c>
      <x:c r="M14" s="14" t="n">
        <x:f>IF(11&gt;=$D$6,B$12*$B$6/($C$6*4),0)+IF(10&gt;=$D$6,C$12*$B$6/($C$6*4),0)+IF(9&gt;=$D$6,D$12*$B$6/($C$6*4),0)+IF(8&gt;=$D$6,E$12*$B$6/($C$6*4),0)+IF(7&gt;=$D$6,F$12*$B$6/($C$6*4),0)+IF(6&gt;=$D$6,G$12*$B$6/($C$6*4),0)+IF(5&gt;=$D$6,H$12*$B$6/($C$6*4),0)+IF(4&gt;=$D$6,I$12*$B$6/($C$6*4),0)+IF(3&gt;=$D$6,J$12*$B$6/($C$6*4),0)+IF(2&gt;=$D$6,K$12*$B$6/($C$6*4),0)+IF(1&gt;=$D$6,L$12*$B$6/($C$6*4),0)+IF(0&gt;=$D$6,M$12*$B$6/($C$6*4),0)</x:f>
        <x:v>15641300000</x:v>
      </x:c>
      <x:c r="N14" s="14" t="n">
        <x:f>IF(12&gt;=$D$6,B$12*$B$6/($C$6*4),0)+IF(11&gt;=$D$6,C$12*$B$6/($C$6*4),0)+IF(10&gt;=$D$6,D$12*$B$6/($C$6*4),0)+IF(9&gt;=$D$6,E$12*$B$6/($C$6*4),0)+IF(8&gt;=$D$6,F$12*$B$6/($C$6*4),0)+IF(7&gt;=$D$6,G$12*$B$6/($C$6*4),0)+IF(6&gt;=$D$6,H$12*$B$6/($C$6*4),0)+IF(5&gt;=$D$6,I$12*$B$6/($C$6*4),0)+IF(4&gt;=$D$6,J$12*$B$6/($C$6*4),0)+IF(3&gt;=$D$6,K$12*$B$6/($C$6*4),0)+IF(2&gt;=$D$6,L$12*$B$6/($C$6*4),0)+IF(1&gt;=$D$6,M$12*$B$6/($C$6*4),0)+IF(0&gt;=$D$6,N$12*$B$6/($C$6*4),0)</x:f>
        <x:v>16922550000</x:v>
      </x:c>
      <x:c r="O14" s="14" t="n">
        <x:f>IF(13&gt;=$D$6,B$12*$B$6/($C$6*4),0)+IF(12&gt;=$D$6,C$12*$B$6/($C$6*4),0)+IF(11&gt;=$D$6,D$12*$B$6/($C$6*4),0)+IF(10&gt;=$D$6,E$12*$B$6/($C$6*4),0)+IF(9&gt;=$D$6,F$12*$B$6/($C$6*4),0)+IF(8&gt;=$D$6,G$12*$B$6/($C$6*4),0)+IF(7&gt;=$D$6,H$12*$B$6/($C$6*4),0)+IF(6&gt;=$D$6,I$12*$B$6/($C$6*4),0)+IF(5&gt;=$D$6,J$12*$B$6/($C$6*4),0)+IF(4&gt;=$D$6,K$12*$B$6/($C$6*4),0)+IF(3&gt;=$D$6,L$12*$B$6/($C$6*4),0)+IF(2&gt;=$D$6,M$12*$B$6/($C$6*4),0)+IF(1&gt;=$D$6,N$12*$B$6/($C$6*4),0)+IF(0&gt;=$D$6,O$12*$B$6/($C$6*4),0)</x:f>
        <x:v>18203800000</x:v>
      </x:c>
      <x:c r="P14" s="14" t="n">
        <x:f>IF(14&gt;=$D$6,B$12*$B$6/($C$6*4),0)+IF(13&gt;=$D$6,C$12*$B$6/($C$6*4),0)+IF(12&gt;=$D$6,D$12*$B$6/($C$6*4),0)+IF(11&gt;=$D$6,E$12*$B$6/($C$6*4),0)+IF(10&gt;=$D$6,F$12*$B$6/($C$6*4),0)+IF(9&gt;=$D$6,G$12*$B$6/($C$6*4),0)+IF(8&gt;=$D$6,H$12*$B$6/($C$6*4),0)+IF(7&gt;=$D$6,I$12*$B$6/($C$6*4),0)+IF(6&gt;=$D$6,J$12*$B$6/($C$6*4),0)+IF(5&gt;=$D$6,K$12*$B$6/($C$6*4),0)+IF(4&gt;=$D$6,L$12*$B$6/($C$6*4),0)+IF(3&gt;=$D$6,M$12*$B$6/($C$6*4),0)+IF(2&gt;=$D$6,N$12*$B$6/($C$6*4),0)+IF(1&gt;=$D$6,O$12*$B$6/($C$6*4),0)+IF(0&gt;=$D$6,P$12*$B$6/($C$6*4),0)</x:f>
        <x:v>19485050000</x:v>
      </x:c>
      <x:c r="Q14" s="14" t="n">
        <x:f>IF(15&gt;=$D$6,B$12*$B$6/($C$6*4),0)+IF(14&gt;=$D$6,C$12*$B$6/($C$6*4),0)+IF(13&gt;=$D$6,D$12*$B$6/($C$6*4),0)+IF(12&gt;=$D$6,E$12*$B$6/($C$6*4),0)+IF(11&gt;=$D$6,F$12*$B$6/($C$6*4),0)+IF(10&gt;=$D$6,G$12*$B$6/($C$6*4),0)+IF(9&gt;=$D$6,H$12*$B$6/($C$6*4),0)+IF(8&gt;=$D$6,I$12*$B$6/($C$6*4),0)+IF(7&gt;=$D$6,J$12*$B$6/($C$6*4),0)+IF(6&gt;=$D$6,K$12*$B$6/($C$6*4),0)+IF(5&gt;=$D$6,L$12*$B$6/($C$6*4),0)+IF(4&gt;=$D$6,M$12*$B$6/($C$6*4),0)+IF(3&gt;=$D$6,N$12*$B$6/($C$6*4),0)+IF(2&gt;=$D$6,O$12*$B$6/($C$6*4),0)+IF(1&gt;=$D$6,P$12*$B$6/($C$6*4),0)+IF(0&gt;=$D$6,Q$12*$B$6/($C$6*4),0)</x:f>
        <x:v>20641300000</x:v>
      </x:c>
      <x:c r="R14" s="14" t="n">
        <x:f>IF(16&gt;=$D$6,B$12*$B$6/($C$6*4),0)+IF(15&gt;=$D$6,C$12*$B$6/($C$6*4),0)+IF(14&gt;=$D$6,D$12*$B$6/($C$6*4),0)+IF(13&gt;=$D$6,E$12*$B$6/($C$6*4),0)+IF(12&gt;=$D$6,F$12*$B$6/($C$6*4),0)+IF(11&gt;=$D$6,G$12*$B$6/($C$6*4),0)+IF(10&gt;=$D$6,H$12*$B$6/($C$6*4),0)+IF(9&gt;=$D$6,I$12*$B$6/($C$6*4),0)+IF(8&gt;=$D$6,J$12*$B$6/($C$6*4),0)+IF(7&gt;=$D$6,K$12*$B$6/($C$6*4),0)+IF(6&gt;=$D$6,L$12*$B$6/($C$6*4),0)+IF(5&gt;=$D$6,M$12*$B$6/($C$6*4),0)+IF(4&gt;=$D$6,N$12*$B$6/($C$6*4),0)+IF(3&gt;=$D$6,O$12*$B$6/($C$6*4),0)+IF(2&gt;=$D$6,P$12*$B$6/($C$6*4),0)+IF(1&gt;=$D$6,Q$12*$B$6/($C$6*4),0)+IF(0&gt;=$D$6,R$12*$B$6/($C$6*4),0)</x:f>
        <x:v>21797550000</x:v>
      </x:c>
      <x:c r="S14" s="14" t="n">
        <x:f>IF(17&gt;=$D$6,B$12*$B$6/($C$6*4),0)+IF(16&gt;=$D$6,C$12*$B$6/($C$6*4),0)+IF(15&gt;=$D$6,D$12*$B$6/($C$6*4),0)+IF(14&gt;=$D$6,E$12*$B$6/($C$6*4),0)+IF(13&gt;=$D$6,F$12*$B$6/($C$6*4),0)+IF(12&gt;=$D$6,G$12*$B$6/($C$6*4),0)+IF(11&gt;=$D$6,H$12*$B$6/($C$6*4),0)+IF(10&gt;=$D$6,I$12*$B$6/($C$6*4),0)+IF(9&gt;=$D$6,J$12*$B$6/($C$6*4),0)+IF(8&gt;=$D$6,K$12*$B$6/($C$6*4),0)+IF(7&gt;=$D$6,L$12*$B$6/($C$6*4),0)+IF(6&gt;=$D$6,M$12*$B$6/($C$6*4),0)+IF(5&gt;=$D$6,N$12*$B$6/($C$6*4),0)+IF(4&gt;=$D$6,O$12*$B$6/($C$6*4),0)+IF(3&gt;=$D$6,P$12*$B$6/($C$6*4),0)+IF(2&gt;=$D$6,Q$12*$B$6/($C$6*4),0)+IF(1&gt;=$D$6,R$12*$B$6/($C$6*4),0)+IF(0&gt;=$D$6,S$12*$B$6/($C$6*4),0)</x:f>
        <x:v>22953800000</x:v>
      </x:c>
      <x:c r="T14" s="14" t="n">
        <x:f>IF(18&gt;=$D$6,B$12*$B$6/($C$6*4),0)+IF(17&gt;=$D$6,C$12*$B$6/($C$6*4),0)+IF(16&gt;=$D$6,D$12*$B$6/($C$6*4),0)+IF(15&gt;=$D$6,E$12*$B$6/($C$6*4),0)+IF(14&gt;=$D$6,F$12*$B$6/($C$6*4),0)+IF(13&gt;=$D$6,G$12*$B$6/($C$6*4),0)+IF(12&gt;=$D$6,H$12*$B$6/($C$6*4),0)+IF(11&gt;=$D$6,I$12*$B$6/($C$6*4),0)+IF(10&gt;=$D$6,J$12*$B$6/($C$6*4),0)+IF(9&gt;=$D$6,K$12*$B$6/($C$6*4),0)+IF(8&gt;=$D$6,L$12*$B$6/($C$6*4),0)+IF(7&gt;=$D$6,M$12*$B$6/($C$6*4),0)+IF(6&gt;=$D$6,N$12*$B$6/($C$6*4),0)+IF(5&gt;=$D$6,O$12*$B$6/($C$6*4),0)+IF(4&gt;=$D$6,P$12*$B$6/($C$6*4),0)+IF(3&gt;=$D$6,Q$12*$B$6/($C$6*4),0)+IF(2&gt;=$D$6,R$12*$B$6/($C$6*4),0)+IF(1&gt;=$D$6,S$12*$B$6/($C$6*4),0)+IF(0&gt;=$D$6,T$12*$B$6/($C$6*4),0)</x:f>
        <x:v>24110050000</x:v>
      </x:c>
      <x:c r="U14" s="14" t="n">
        <x:f>IF(19&gt;=$D$6,B$12*$B$6/($C$6*4),0)+IF(18&gt;=$D$6,C$12*$B$6/($C$6*4),0)+IF(17&gt;=$D$6,D$12*$B$6/($C$6*4),0)+IF(16&gt;=$D$6,E$12*$B$6/($C$6*4),0)+IF(15&gt;=$D$6,F$12*$B$6/($C$6*4),0)+IF(14&gt;=$D$6,G$12*$B$6/($C$6*4),0)+IF(13&gt;=$D$6,H$12*$B$6/($C$6*4),0)+IF(12&gt;=$D$6,I$12*$B$6/($C$6*4),0)+IF(11&gt;=$D$6,J$12*$B$6/($C$6*4),0)+IF(10&gt;=$D$6,K$12*$B$6/($C$6*4),0)+IF(9&gt;=$D$6,L$12*$B$6/($C$6*4),0)+IF(8&gt;=$D$6,M$12*$B$6/($C$6*4),0)+IF(7&gt;=$D$6,N$12*$B$6/($C$6*4),0)+IF(6&gt;=$D$6,O$12*$B$6/($C$6*4),0)+IF(5&gt;=$D$6,P$12*$B$6/($C$6*4),0)+IF(4&gt;=$D$6,Q$12*$B$6/($C$6*4),0)+IF(3&gt;=$D$6,R$12*$B$6/($C$6*4),0)+IF(2&gt;=$D$6,S$12*$B$6/($C$6*4),0)+IF(1&gt;=$D$6,T$12*$B$6/($C$6*4),0)+IF(0&gt;=$D$6,U$12*$B$6/($C$6*4),0)</x:f>
        <x:v>25172550000</x:v>
      </x:c>
      <x:c r="V14" s="14" t="n">
        <x:f>IF(20&gt;=$D$6,B$12*$B$6/($C$6*4),0)+IF(19&gt;=$D$6,C$12*$B$6/($C$6*4),0)+IF(18&gt;=$D$6,D$12*$B$6/($C$6*4),0)+IF(17&gt;=$D$6,E$12*$B$6/($C$6*4),0)+IF(16&gt;=$D$6,F$12*$B$6/($C$6*4),0)+IF(15&gt;=$D$6,G$12*$B$6/($C$6*4),0)+IF(14&gt;=$D$6,H$12*$B$6/($C$6*4),0)+IF(13&gt;=$D$6,I$12*$B$6/($C$6*4),0)+IF(12&gt;=$D$6,J$12*$B$6/($C$6*4),0)+IF(11&gt;=$D$6,K$12*$B$6/($C$6*4),0)+IF(10&gt;=$D$6,L$12*$B$6/($C$6*4),0)+IF(9&gt;=$D$6,M$12*$B$6/($C$6*4),0)+IF(8&gt;=$D$6,N$12*$B$6/($C$6*4),0)+IF(7&gt;=$D$6,O$12*$B$6/($C$6*4),0)+IF(6&gt;=$D$6,P$12*$B$6/($C$6*4),0)+IF(5&gt;=$D$6,Q$12*$B$6/($C$6*4),0)+IF(4&gt;=$D$6,R$12*$B$6/($C$6*4),0)+IF(3&gt;=$D$6,S$12*$B$6/($C$6*4),0)+IF(2&gt;=$D$6,T$12*$B$6/($C$6*4),0)+IF(1&gt;=$D$6,U$12*$B$6/($C$6*4),0)+IF(0&gt;=$D$6,V$12*$B$6/($C$6*4),0)</x:f>
        <x:v>26235050000</x:v>
      </x:c>
      <x:c r="W14" s="14" t="n">
        <x:f>IF(21&gt;=$D$6,B$12*$B$6/($C$6*4),0)+IF(20&gt;=$D$6,C$12*$B$6/($C$6*4),0)+IF(19&gt;=$D$6,D$12*$B$6/($C$6*4),0)+IF(18&gt;=$D$6,E$12*$B$6/($C$6*4),0)+IF(17&gt;=$D$6,F$12*$B$6/($C$6*4),0)+IF(16&gt;=$D$6,G$12*$B$6/($C$6*4),0)+IF(15&gt;=$D$6,H$12*$B$6/($C$6*4),0)+IF(14&gt;=$D$6,I$12*$B$6/($C$6*4),0)+IF(13&gt;=$D$6,J$12*$B$6/($C$6*4),0)+IF(12&gt;=$D$6,K$12*$B$6/($C$6*4),0)+IF(11&gt;=$D$6,L$12*$B$6/($C$6*4),0)+IF(10&gt;=$D$6,M$12*$B$6/($C$6*4),0)+IF(9&gt;=$D$6,N$12*$B$6/($C$6*4),0)+IF(8&gt;=$D$6,O$12*$B$6/($C$6*4),0)+IF(7&gt;=$D$6,P$12*$B$6/($C$6*4),0)+IF(6&gt;=$D$6,Q$12*$B$6/($C$6*4),0)+IF(5&gt;=$D$6,R$12*$B$6/($C$6*4),0)+IF(4&gt;=$D$6,S$12*$B$6/($C$6*4),0)+IF(3&gt;=$D$6,T$12*$B$6/($C$6*4),0)+IF(2&gt;=$D$6,U$12*$B$6/($C$6*4),0)+IF(1&gt;=$D$6,V$12*$B$6/($C$6*4),0)+IF(0&gt;=$D$6,W$12*$B$6/($C$6*4),0)</x:f>
        <x:v>27297550000</x:v>
      </x:c>
    </x:row>
    <x:row r="15">
      <x:c r="A15" s="2" t="inlineStr">
        <x:is>
          <x:t xml:space="preserve">Forecast-vintage D&amp;A — Network equipment</x:t>
        </x:is>
      </x:c>
      <x:c r="B15" s="14" t="n">
        <x:f>IF(0&gt;=$D$7,B$12*$B$7/($C$7*4),0)</x:f>
        <x:v>0</x:v>
      </x:c>
      <x:c r="C15" s="14" t="n">
        <x:f>IF(1&gt;=$D$7,B$12*$B$7/($C$7*4),0)+IF(0&gt;=$D$7,C$12*$B$7/($C$7*4),0)</x:f>
        <x:v>0</x:v>
      </x:c>
      <x:c r="D15" s="14" t="n">
        <x:f>IF(2&gt;=$D$7,B$12*$B$7/($C$7*4),0)+IF(1&gt;=$D$7,C$12*$B$7/($C$7*4),0)+IF(0&gt;=$D$7,D$12*$B$7/($C$7*4),0)</x:f>
        <x:v>497508333.3333333</x:v>
      </x:c>
      <x:c r="E15" s="14" t="n">
        <x:f>IF(3&gt;=$D$7,B$12*$B$7/($C$7*4),0)+IF(2&gt;=$D$7,C$12*$B$7/($C$7*4),0)+IF(1&gt;=$D$7,D$12*$B$7/($C$7*4),0)+IF(0&gt;=$D$7,E$12*$B$7/($C$7*4),0)</x:f>
        <x:v>995016666.6666666</x:v>
      </x:c>
      <x:c r="F15" s="14" t="n">
        <x:f>IF(4&gt;=$D$7,B$12*$B$7/($C$7*4),0)+IF(3&gt;=$D$7,C$12*$B$7/($C$7*4),0)+IF(2&gt;=$D$7,D$12*$B$7/($C$7*4),0)+IF(1&gt;=$D$7,E$12*$B$7/($C$7*4),0)+IF(0&gt;=$D$7,F$12*$B$7/($C$7*4),0)</x:f>
        <x:v>1474183333.3333333</x:v>
      </x:c>
      <x:c r="G15" s="14" t="n">
        <x:f>IF(5&gt;=$D$7,B$12*$B$7/($C$7*4),0)+IF(4&gt;=$D$7,C$12*$B$7/($C$7*4),0)+IF(3&gt;=$D$7,D$12*$B$7/($C$7*4),0)+IF(2&gt;=$D$7,E$12*$B$7/($C$7*4),0)+IF(1&gt;=$D$7,F$12*$B$7/($C$7*4),0)+IF(0&gt;=$D$7,G$12*$B$7/($C$7*4),0)</x:f>
        <x:v>1953350000</x:v>
      </x:c>
      <x:c r="H15" s="14" t="n">
        <x:f>IF(6&gt;=$D$7,B$12*$B$7/($C$7*4),0)+IF(5&gt;=$D$7,C$12*$B$7/($C$7*4),0)+IF(4&gt;=$D$7,D$12*$B$7/($C$7*4),0)+IF(3&gt;=$D$7,E$12*$B$7/($C$7*4),0)+IF(2&gt;=$D$7,F$12*$B$7/($C$7*4),0)+IF(1&gt;=$D$7,G$12*$B$7/($C$7*4),0)+IF(0&gt;=$D$7,H$12*$B$7/($C$7*4),0)</x:f>
        <x:v>2432516666.6666665</x:v>
      </x:c>
      <x:c r="I15" s="14" t="n">
        <x:f>IF(7&gt;=$D$7,B$12*$B$7/($C$7*4),0)+IF(6&gt;=$D$7,C$12*$B$7/($C$7*4),0)+IF(5&gt;=$D$7,D$12*$B$7/($C$7*4),0)+IF(4&gt;=$D$7,E$12*$B$7/($C$7*4),0)+IF(3&gt;=$D$7,F$12*$B$7/($C$7*4),0)+IF(2&gt;=$D$7,G$12*$B$7/($C$7*4),0)+IF(1&gt;=$D$7,H$12*$B$7/($C$7*4),0)+IF(0&gt;=$D$7,I$12*$B$7/($C$7*4),0)</x:f>
        <x:v>2911683333.333333</x:v>
      </x:c>
      <x:c r="J15" s="14" t="n">
        <x:f>IF(8&gt;=$D$7,B$12*$B$7/($C$7*4),0)+IF(7&gt;=$D$7,C$12*$B$7/($C$7*4),0)+IF(6&gt;=$D$7,D$12*$B$7/($C$7*4),0)+IF(5&gt;=$D$7,E$12*$B$7/($C$7*4),0)+IF(4&gt;=$D$7,F$12*$B$7/($C$7*4),0)+IF(3&gt;=$D$7,G$12*$B$7/($C$7*4),0)+IF(2&gt;=$D$7,H$12*$B$7/($C$7*4),0)+IF(1&gt;=$D$7,I$12*$B$7/($C$7*4),0)+IF(0&gt;=$D$7,J$12*$B$7/($C$7*4),0)</x:f>
        <x:v>3380433333.333333</x:v>
      </x:c>
      <x:c r="K15" s="14" t="n">
        <x:f>IF(9&gt;=$D$7,B$12*$B$7/($C$7*4),0)+IF(8&gt;=$D$7,C$12*$B$7/($C$7*4),0)+IF(7&gt;=$D$7,D$12*$B$7/($C$7*4),0)+IF(6&gt;=$D$7,E$12*$B$7/($C$7*4),0)+IF(5&gt;=$D$7,F$12*$B$7/($C$7*4),0)+IF(4&gt;=$D$7,G$12*$B$7/($C$7*4),0)+IF(3&gt;=$D$7,H$12*$B$7/($C$7*4),0)+IF(2&gt;=$D$7,I$12*$B$7/($C$7*4),0)+IF(1&gt;=$D$7,J$12*$B$7/($C$7*4),0)+IF(0&gt;=$D$7,K$12*$B$7/($C$7*4),0)</x:f>
        <x:v>3849183333.333333</x:v>
      </x:c>
      <x:c r="L15" s="14" t="n">
        <x:f>IF(10&gt;=$D$7,B$12*$B$7/($C$7*4),0)+IF(9&gt;=$D$7,C$12*$B$7/($C$7*4),0)+IF(8&gt;=$D$7,D$12*$B$7/($C$7*4),0)+IF(7&gt;=$D$7,E$12*$B$7/($C$7*4),0)+IF(6&gt;=$D$7,F$12*$B$7/($C$7*4),0)+IF(5&gt;=$D$7,G$12*$B$7/($C$7*4),0)+IF(4&gt;=$D$7,H$12*$B$7/($C$7*4),0)+IF(3&gt;=$D$7,I$12*$B$7/($C$7*4),0)+IF(2&gt;=$D$7,J$12*$B$7/($C$7*4),0)+IF(1&gt;=$D$7,K$12*$B$7/($C$7*4),0)+IF(0&gt;=$D$7,L$12*$B$7/($C$7*4),0)</x:f>
        <x:v>4317933333.333333</x:v>
      </x:c>
      <x:c r="M15" s="14" t="n">
        <x:f>IF(11&gt;=$D$7,B$12*$B$7/($C$7*4),0)+IF(10&gt;=$D$7,C$12*$B$7/($C$7*4),0)+IF(9&gt;=$D$7,D$12*$B$7/($C$7*4),0)+IF(8&gt;=$D$7,E$12*$B$7/($C$7*4),0)+IF(7&gt;=$D$7,F$12*$B$7/($C$7*4),0)+IF(6&gt;=$D$7,G$12*$B$7/($C$7*4),0)+IF(5&gt;=$D$7,H$12*$B$7/($C$7*4),0)+IF(4&gt;=$D$7,I$12*$B$7/($C$7*4),0)+IF(3&gt;=$D$7,J$12*$B$7/($C$7*4),0)+IF(2&gt;=$D$7,K$12*$B$7/($C$7*4),0)+IF(1&gt;=$D$7,L$12*$B$7/($C$7*4),0)+IF(0&gt;=$D$7,M$12*$B$7/($C$7*4),0)</x:f>
        <x:v>4786683333.333333</x:v>
      </x:c>
      <x:c r="N15" s="14" t="n">
        <x:f>IF(12&gt;=$D$7,B$12*$B$7/($C$7*4),0)+IF(11&gt;=$D$7,C$12*$B$7/($C$7*4),0)+IF(10&gt;=$D$7,D$12*$B$7/($C$7*4),0)+IF(9&gt;=$D$7,E$12*$B$7/($C$7*4),0)+IF(8&gt;=$D$7,F$12*$B$7/($C$7*4),0)+IF(7&gt;=$D$7,G$12*$B$7/($C$7*4),0)+IF(6&gt;=$D$7,H$12*$B$7/($C$7*4),0)+IF(5&gt;=$D$7,I$12*$B$7/($C$7*4),0)+IF(4&gt;=$D$7,J$12*$B$7/($C$7*4),0)+IF(3&gt;=$D$7,K$12*$B$7/($C$7*4),0)+IF(2&gt;=$D$7,L$12*$B$7/($C$7*4),0)+IF(1&gt;=$D$7,M$12*$B$7/($C$7*4),0)+IF(0&gt;=$D$7,N$12*$B$7/($C$7*4),0)</x:f>
        <x:v>5213766666.666666</x:v>
      </x:c>
      <x:c r="O15" s="14" t="n">
        <x:f>IF(13&gt;=$D$7,B$12*$B$7/($C$7*4),0)+IF(12&gt;=$D$7,C$12*$B$7/($C$7*4),0)+IF(11&gt;=$D$7,D$12*$B$7/($C$7*4),0)+IF(10&gt;=$D$7,E$12*$B$7/($C$7*4),0)+IF(9&gt;=$D$7,F$12*$B$7/($C$7*4),0)+IF(8&gt;=$D$7,G$12*$B$7/($C$7*4),0)+IF(7&gt;=$D$7,H$12*$B$7/($C$7*4),0)+IF(6&gt;=$D$7,I$12*$B$7/($C$7*4),0)+IF(5&gt;=$D$7,J$12*$B$7/($C$7*4),0)+IF(4&gt;=$D$7,K$12*$B$7/($C$7*4),0)+IF(3&gt;=$D$7,L$12*$B$7/($C$7*4),0)+IF(2&gt;=$D$7,M$12*$B$7/($C$7*4),0)+IF(1&gt;=$D$7,N$12*$B$7/($C$7*4),0)+IF(0&gt;=$D$7,O$12*$B$7/($C$7*4),0)</x:f>
        <x:v>5640849999.999999</x:v>
      </x:c>
      <x:c r="P15" s="14" t="n">
        <x:f>IF(14&gt;=$D$7,B$12*$B$7/($C$7*4),0)+IF(13&gt;=$D$7,C$12*$B$7/($C$7*4),0)+IF(12&gt;=$D$7,D$12*$B$7/($C$7*4),0)+IF(11&gt;=$D$7,E$12*$B$7/($C$7*4),0)+IF(10&gt;=$D$7,F$12*$B$7/($C$7*4),0)+IF(9&gt;=$D$7,G$12*$B$7/($C$7*4),0)+IF(8&gt;=$D$7,H$12*$B$7/($C$7*4),0)+IF(7&gt;=$D$7,I$12*$B$7/($C$7*4),0)+IF(6&gt;=$D$7,J$12*$B$7/($C$7*4),0)+IF(5&gt;=$D$7,K$12*$B$7/($C$7*4),0)+IF(4&gt;=$D$7,L$12*$B$7/($C$7*4),0)+IF(3&gt;=$D$7,M$12*$B$7/($C$7*4),0)+IF(2&gt;=$D$7,N$12*$B$7/($C$7*4),0)+IF(1&gt;=$D$7,O$12*$B$7/($C$7*4),0)+IF(0&gt;=$D$7,P$12*$B$7/($C$7*4),0)</x:f>
        <x:v>6067933333.333332</x:v>
      </x:c>
      <x:c r="Q15" s="14" t="n">
        <x:f>IF(15&gt;=$D$7,B$12*$B$7/($C$7*4),0)+IF(14&gt;=$D$7,C$12*$B$7/($C$7*4),0)+IF(13&gt;=$D$7,D$12*$B$7/($C$7*4),0)+IF(12&gt;=$D$7,E$12*$B$7/($C$7*4),0)+IF(11&gt;=$D$7,F$12*$B$7/($C$7*4),0)+IF(10&gt;=$D$7,G$12*$B$7/($C$7*4),0)+IF(9&gt;=$D$7,H$12*$B$7/($C$7*4),0)+IF(8&gt;=$D$7,I$12*$B$7/($C$7*4),0)+IF(7&gt;=$D$7,J$12*$B$7/($C$7*4),0)+IF(6&gt;=$D$7,K$12*$B$7/($C$7*4),0)+IF(5&gt;=$D$7,L$12*$B$7/($C$7*4),0)+IF(4&gt;=$D$7,M$12*$B$7/($C$7*4),0)+IF(3&gt;=$D$7,N$12*$B$7/($C$7*4),0)+IF(2&gt;=$D$7,O$12*$B$7/($C$7*4),0)+IF(1&gt;=$D$7,P$12*$B$7/($C$7*4),0)+IF(0&gt;=$D$7,Q$12*$B$7/($C$7*4),0)</x:f>
        <x:v>6495016666.666665</x:v>
      </x:c>
      <x:c r="R15" s="14" t="n">
        <x:f>IF(16&gt;=$D$7,B$12*$B$7/($C$7*4),0)+IF(15&gt;=$D$7,C$12*$B$7/($C$7*4),0)+IF(14&gt;=$D$7,D$12*$B$7/($C$7*4),0)+IF(13&gt;=$D$7,E$12*$B$7/($C$7*4),0)+IF(12&gt;=$D$7,F$12*$B$7/($C$7*4),0)+IF(11&gt;=$D$7,G$12*$B$7/($C$7*4),0)+IF(10&gt;=$D$7,H$12*$B$7/($C$7*4),0)+IF(9&gt;=$D$7,I$12*$B$7/($C$7*4),0)+IF(8&gt;=$D$7,J$12*$B$7/($C$7*4),0)+IF(7&gt;=$D$7,K$12*$B$7/($C$7*4),0)+IF(6&gt;=$D$7,L$12*$B$7/($C$7*4),0)+IF(5&gt;=$D$7,M$12*$B$7/($C$7*4),0)+IF(4&gt;=$D$7,N$12*$B$7/($C$7*4),0)+IF(3&gt;=$D$7,O$12*$B$7/($C$7*4),0)+IF(2&gt;=$D$7,P$12*$B$7/($C$7*4),0)+IF(1&gt;=$D$7,Q$12*$B$7/($C$7*4),0)+IF(0&gt;=$D$7,R$12*$B$7/($C$7*4),0)</x:f>
        <x:v>6880433333.333332</x:v>
      </x:c>
      <x:c r="S15" s="14" t="n">
        <x:f>IF(17&gt;=$D$7,B$12*$B$7/($C$7*4),0)+IF(16&gt;=$D$7,C$12*$B$7/($C$7*4),0)+IF(15&gt;=$D$7,D$12*$B$7/($C$7*4),0)+IF(14&gt;=$D$7,E$12*$B$7/($C$7*4),0)+IF(13&gt;=$D$7,F$12*$B$7/($C$7*4),0)+IF(12&gt;=$D$7,G$12*$B$7/($C$7*4),0)+IF(11&gt;=$D$7,H$12*$B$7/($C$7*4),0)+IF(10&gt;=$D$7,I$12*$B$7/($C$7*4),0)+IF(9&gt;=$D$7,J$12*$B$7/($C$7*4),0)+IF(8&gt;=$D$7,K$12*$B$7/($C$7*4),0)+IF(7&gt;=$D$7,L$12*$B$7/($C$7*4),0)+IF(6&gt;=$D$7,M$12*$B$7/($C$7*4),0)+IF(5&gt;=$D$7,N$12*$B$7/($C$7*4),0)+IF(4&gt;=$D$7,O$12*$B$7/($C$7*4),0)+IF(3&gt;=$D$7,P$12*$B$7/($C$7*4),0)+IF(2&gt;=$D$7,Q$12*$B$7/($C$7*4),0)+IF(1&gt;=$D$7,R$12*$B$7/($C$7*4),0)+IF(0&gt;=$D$7,S$12*$B$7/($C$7*4),0)</x:f>
        <x:v>7265849999.999999</x:v>
      </x:c>
      <x:c r="T15" s="14" t="n">
        <x:f>IF(18&gt;=$D$7,B$12*$B$7/($C$7*4),0)+IF(17&gt;=$D$7,C$12*$B$7/($C$7*4),0)+IF(16&gt;=$D$7,D$12*$B$7/($C$7*4),0)+IF(15&gt;=$D$7,E$12*$B$7/($C$7*4),0)+IF(14&gt;=$D$7,F$12*$B$7/($C$7*4),0)+IF(13&gt;=$D$7,G$12*$B$7/($C$7*4),0)+IF(12&gt;=$D$7,H$12*$B$7/($C$7*4),0)+IF(11&gt;=$D$7,I$12*$B$7/($C$7*4),0)+IF(10&gt;=$D$7,J$12*$B$7/($C$7*4),0)+IF(9&gt;=$D$7,K$12*$B$7/($C$7*4),0)+IF(8&gt;=$D$7,L$12*$B$7/($C$7*4),0)+IF(7&gt;=$D$7,M$12*$B$7/($C$7*4),0)+IF(6&gt;=$D$7,N$12*$B$7/($C$7*4),0)+IF(5&gt;=$D$7,O$12*$B$7/($C$7*4),0)+IF(4&gt;=$D$7,P$12*$B$7/($C$7*4),0)+IF(3&gt;=$D$7,Q$12*$B$7/($C$7*4),0)+IF(2&gt;=$D$7,R$12*$B$7/($C$7*4),0)+IF(1&gt;=$D$7,S$12*$B$7/($C$7*4),0)+IF(0&gt;=$D$7,T$12*$B$7/($C$7*4),0)</x:f>
        <x:v>7651266666.666666</x:v>
      </x:c>
      <x:c r="U15" s="14" t="n">
        <x:f>IF(19&gt;=$D$7,B$12*$B$7/($C$7*4),0)+IF(18&gt;=$D$7,C$12*$B$7/($C$7*4),0)+IF(17&gt;=$D$7,D$12*$B$7/($C$7*4),0)+IF(16&gt;=$D$7,E$12*$B$7/($C$7*4),0)+IF(15&gt;=$D$7,F$12*$B$7/($C$7*4),0)+IF(14&gt;=$D$7,G$12*$B$7/($C$7*4),0)+IF(13&gt;=$D$7,H$12*$B$7/($C$7*4),0)+IF(12&gt;=$D$7,I$12*$B$7/($C$7*4),0)+IF(11&gt;=$D$7,J$12*$B$7/($C$7*4),0)+IF(10&gt;=$D$7,K$12*$B$7/($C$7*4),0)+IF(9&gt;=$D$7,L$12*$B$7/($C$7*4),0)+IF(8&gt;=$D$7,M$12*$B$7/($C$7*4),0)+IF(7&gt;=$D$7,N$12*$B$7/($C$7*4),0)+IF(6&gt;=$D$7,O$12*$B$7/($C$7*4),0)+IF(5&gt;=$D$7,P$12*$B$7/($C$7*4),0)+IF(4&gt;=$D$7,Q$12*$B$7/($C$7*4),0)+IF(3&gt;=$D$7,R$12*$B$7/($C$7*4),0)+IF(2&gt;=$D$7,S$12*$B$7/($C$7*4),0)+IF(1&gt;=$D$7,T$12*$B$7/($C$7*4),0)+IF(0&gt;=$D$7,U$12*$B$7/($C$7*4),0)</x:f>
        <x:v>8036683333.333333</x:v>
      </x:c>
      <x:c r="V15" s="14" t="n">
        <x:f>IF(20&gt;=$D$7,B$12*$B$7/($C$7*4),0)+IF(19&gt;=$D$7,C$12*$B$7/($C$7*4),0)+IF(18&gt;=$D$7,D$12*$B$7/($C$7*4),0)+IF(17&gt;=$D$7,E$12*$B$7/($C$7*4),0)+IF(16&gt;=$D$7,F$12*$B$7/($C$7*4),0)+IF(15&gt;=$D$7,G$12*$B$7/($C$7*4),0)+IF(14&gt;=$D$7,H$12*$B$7/($C$7*4),0)+IF(13&gt;=$D$7,I$12*$B$7/($C$7*4),0)+IF(12&gt;=$D$7,J$12*$B$7/($C$7*4),0)+IF(11&gt;=$D$7,K$12*$B$7/($C$7*4),0)+IF(10&gt;=$D$7,L$12*$B$7/($C$7*4),0)+IF(9&gt;=$D$7,M$12*$B$7/($C$7*4),0)+IF(8&gt;=$D$7,N$12*$B$7/($C$7*4),0)+IF(7&gt;=$D$7,O$12*$B$7/($C$7*4),0)+IF(6&gt;=$D$7,P$12*$B$7/($C$7*4),0)+IF(5&gt;=$D$7,Q$12*$B$7/($C$7*4),0)+IF(4&gt;=$D$7,R$12*$B$7/($C$7*4),0)+IF(3&gt;=$D$7,S$12*$B$7/($C$7*4),0)+IF(2&gt;=$D$7,T$12*$B$7/($C$7*4),0)+IF(1&gt;=$D$7,U$12*$B$7/($C$7*4),0)+IF(0&gt;=$D$7,V$12*$B$7/($C$7*4),0)</x:f>
        <x:v>8390850000</x:v>
      </x:c>
      <x:c r="W15" s="14" t="n">
        <x:f>IF(21&gt;=$D$7,B$12*$B$7/($C$7*4),0)+IF(20&gt;=$D$7,C$12*$B$7/($C$7*4),0)+IF(19&gt;=$D$7,D$12*$B$7/($C$7*4),0)+IF(18&gt;=$D$7,E$12*$B$7/($C$7*4),0)+IF(17&gt;=$D$7,F$12*$B$7/($C$7*4),0)+IF(16&gt;=$D$7,G$12*$B$7/($C$7*4),0)+IF(15&gt;=$D$7,H$12*$B$7/($C$7*4),0)+IF(14&gt;=$D$7,I$12*$B$7/($C$7*4),0)+IF(13&gt;=$D$7,J$12*$B$7/($C$7*4),0)+IF(12&gt;=$D$7,K$12*$B$7/($C$7*4),0)+IF(11&gt;=$D$7,L$12*$B$7/($C$7*4),0)+IF(10&gt;=$D$7,M$12*$B$7/($C$7*4),0)+IF(9&gt;=$D$7,N$12*$B$7/($C$7*4),0)+IF(8&gt;=$D$7,O$12*$B$7/($C$7*4),0)+IF(7&gt;=$D$7,P$12*$B$7/($C$7*4),0)+IF(6&gt;=$D$7,Q$12*$B$7/($C$7*4),0)+IF(5&gt;=$D$7,R$12*$B$7/($C$7*4),0)+IF(4&gt;=$D$7,S$12*$B$7/($C$7*4),0)+IF(3&gt;=$D$7,T$12*$B$7/($C$7*4),0)+IF(2&gt;=$D$7,U$12*$B$7/($C$7*4),0)+IF(1&gt;=$D$7,V$12*$B$7/($C$7*4),0)+IF(0&gt;=$D$7,W$12*$B$7/($C$7*4),0)</x:f>
        <x:v>8745016666.666666</x:v>
      </x:c>
    </x:row>
    <x:row r="16">
      <x:c r="A16" s="2" t="inlineStr">
        <x:is>
          <x:t xml:space="preserve">Forecast-vintage D&amp;A — Buildings / improvements</x:t>
        </x:is>
      </x:c>
      <x:c r="B16" s="14" t="n">
        <x:f>IF(0&gt;=$D$8,B$12*$B$8/($C$8*4),0)</x:f>
        <x:v>0</x:v>
      </x:c>
      <x:c r="C16" s="14" t="n">
        <x:f>IF(1&gt;=$D$8,B$12*$B$8/($C$8*4),0)+IF(0&gt;=$D$8,C$12*$B$8/($C$8*4),0)</x:f>
        <x:v>0</x:v>
      </x:c>
      <x:c r="D16" s="14" t="n">
        <x:f>IF(2&gt;=$D$8,B$12*$B$8/($C$8*4),0)+IF(1&gt;=$D$8,C$12*$B$8/($C$8*4),0)+IF(0&gt;=$D$8,D$12*$B$8/($C$8*4),0)</x:f>
        <x:v>0</x:v>
      </x:c>
      <x:c r="E16" s="14" t="n">
        <x:f>IF(3&gt;=$D$8,B$12*$B$8/($C$8*4),0)+IF(2&gt;=$D$8,C$12*$B$8/($C$8*4),0)+IF(1&gt;=$D$8,D$12*$B$8/($C$8*4),0)+IF(0&gt;=$D$8,E$12*$B$8/($C$8*4),0)</x:f>
        <x:v>0</x:v>
      </x:c>
      <x:c r="F16" s="14" t="n">
        <x:f>IF(4&gt;=$D$8,B$12*$B$8/($C$8*4),0)+IF(3&gt;=$D$8,C$12*$B$8/($C$8*4),0)+IF(2&gt;=$D$8,D$12*$B$8/($C$8*4),0)+IF(1&gt;=$D$8,E$12*$B$8/($C$8*4),0)+IF(0&gt;=$D$8,F$12*$B$8/($C$8*4),0)</x:f>
        <x:v>119402000</x:v>
      </x:c>
      <x:c r="G16" s="14" t="n">
        <x:f>IF(5&gt;=$D$8,B$12*$B$8/($C$8*4),0)+IF(4&gt;=$D$8,C$12*$B$8/($C$8*4),0)+IF(3&gt;=$D$8,D$12*$B$8/($C$8*4),0)+IF(2&gt;=$D$8,E$12*$B$8/($C$8*4),0)+IF(1&gt;=$D$8,F$12*$B$8/($C$8*4),0)+IF(0&gt;=$D$8,G$12*$B$8/($C$8*4),0)</x:f>
        <x:v>238804000</x:v>
      </x:c>
      <x:c r="H16" s="14" t="n">
        <x:f>IF(6&gt;=$D$8,B$12*$B$8/($C$8*4),0)+IF(5&gt;=$D$8,C$12*$B$8/($C$8*4),0)+IF(4&gt;=$D$8,D$12*$B$8/($C$8*4),0)+IF(3&gt;=$D$8,E$12*$B$8/($C$8*4),0)+IF(2&gt;=$D$8,F$12*$B$8/($C$8*4),0)+IF(1&gt;=$D$8,G$12*$B$8/($C$8*4),0)+IF(0&gt;=$D$8,H$12*$B$8/($C$8*4),0)</x:f>
        <x:v>353804000</x:v>
      </x:c>
      <x:c r="I16" s="14" t="n">
        <x:f>IF(7&gt;=$D$8,B$12*$B$8/($C$8*4),0)+IF(6&gt;=$D$8,C$12*$B$8/($C$8*4),0)+IF(5&gt;=$D$8,D$12*$B$8/($C$8*4),0)+IF(4&gt;=$D$8,E$12*$B$8/($C$8*4),0)+IF(3&gt;=$D$8,F$12*$B$8/($C$8*4),0)+IF(2&gt;=$D$8,G$12*$B$8/($C$8*4),0)+IF(1&gt;=$D$8,H$12*$B$8/($C$8*4),0)+IF(0&gt;=$D$8,I$12*$B$8/($C$8*4),0)</x:f>
        <x:v>468804000</x:v>
      </x:c>
      <x:c r="J16" s="14" t="n">
        <x:f>IF(8&gt;=$D$8,B$12*$B$8/($C$8*4),0)+IF(7&gt;=$D$8,C$12*$B$8/($C$8*4),0)+IF(6&gt;=$D$8,D$12*$B$8/($C$8*4),0)+IF(5&gt;=$D$8,E$12*$B$8/($C$8*4),0)+IF(4&gt;=$D$8,F$12*$B$8/($C$8*4),0)+IF(3&gt;=$D$8,G$12*$B$8/($C$8*4),0)+IF(2&gt;=$D$8,H$12*$B$8/($C$8*4),0)+IF(1&gt;=$D$8,I$12*$B$8/($C$8*4),0)+IF(0&gt;=$D$8,J$12*$B$8/($C$8*4),0)</x:f>
        <x:v>583804000</x:v>
      </x:c>
      <x:c r="K16" s="14" t="n">
        <x:f>IF(9&gt;=$D$8,B$12*$B$8/($C$8*4),0)+IF(8&gt;=$D$8,C$12*$B$8/($C$8*4),0)+IF(7&gt;=$D$8,D$12*$B$8/($C$8*4),0)+IF(6&gt;=$D$8,E$12*$B$8/($C$8*4),0)+IF(5&gt;=$D$8,F$12*$B$8/($C$8*4),0)+IF(4&gt;=$D$8,G$12*$B$8/($C$8*4),0)+IF(3&gt;=$D$8,H$12*$B$8/($C$8*4),0)+IF(2&gt;=$D$8,I$12*$B$8/($C$8*4),0)+IF(1&gt;=$D$8,J$12*$B$8/($C$8*4),0)+IF(0&gt;=$D$8,K$12*$B$8/($C$8*4),0)</x:f>
        <x:v>698804000</x:v>
      </x:c>
      <x:c r="L16" s="14" t="n">
        <x:f>IF(10&gt;=$D$8,B$12*$B$8/($C$8*4),0)+IF(9&gt;=$D$8,C$12*$B$8/($C$8*4),0)+IF(8&gt;=$D$8,D$12*$B$8/($C$8*4),0)+IF(7&gt;=$D$8,E$12*$B$8/($C$8*4),0)+IF(6&gt;=$D$8,F$12*$B$8/($C$8*4),0)+IF(5&gt;=$D$8,G$12*$B$8/($C$8*4),0)+IF(4&gt;=$D$8,H$12*$B$8/($C$8*4),0)+IF(3&gt;=$D$8,I$12*$B$8/($C$8*4),0)+IF(2&gt;=$D$8,J$12*$B$8/($C$8*4),0)+IF(1&gt;=$D$8,K$12*$B$8/($C$8*4),0)+IF(0&gt;=$D$8,L$12*$B$8/($C$8*4),0)</x:f>
        <x:v>811304000</x:v>
      </x:c>
      <x:c r="M16" s="14" t="n">
        <x:f>IF(11&gt;=$D$8,B$12*$B$8/($C$8*4),0)+IF(10&gt;=$D$8,C$12*$B$8/($C$8*4),0)+IF(9&gt;=$D$8,D$12*$B$8/($C$8*4),0)+IF(8&gt;=$D$8,E$12*$B$8/($C$8*4),0)+IF(7&gt;=$D$8,F$12*$B$8/($C$8*4),0)+IF(6&gt;=$D$8,G$12*$B$8/($C$8*4),0)+IF(5&gt;=$D$8,H$12*$B$8/($C$8*4),0)+IF(4&gt;=$D$8,I$12*$B$8/($C$8*4),0)+IF(3&gt;=$D$8,J$12*$B$8/($C$8*4),0)+IF(2&gt;=$D$8,K$12*$B$8/($C$8*4),0)+IF(1&gt;=$D$8,L$12*$B$8/($C$8*4),0)+IF(0&gt;=$D$8,M$12*$B$8/($C$8*4),0)</x:f>
        <x:v>923804000</x:v>
      </x:c>
      <x:c r="N16" s="14" t="n">
        <x:f>IF(12&gt;=$D$8,B$12*$B$8/($C$8*4),0)+IF(11&gt;=$D$8,C$12*$B$8/($C$8*4),0)+IF(10&gt;=$D$8,D$12*$B$8/($C$8*4),0)+IF(9&gt;=$D$8,E$12*$B$8/($C$8*4),0)+IF(8&gt;=$D$8,F$12*$B$8/($C$8*4),0)+IF(7&gt;=$D$8,G$12*$B$8/($C$8*4),0)+IF(6&gt;=$D$8,H$12*$B$8/($C$8*4),0)+IF(5&gt;=$D$8,I$12*$B$8/($C$8*4),0)+IF(4&gt;=$D$8,J$12*$B$8/($C$8*4),0)+IF(3&gt;=$D$8,K$12*$B$8/($C$8*4),0)+IF(2&gt;=$D$8,L$12*$B$8/($C$8*4),0)+IF(1&gt;=$D$8,M$12*$B$8/($C$8*4),0)+IF(0&gt;=$D$8,N$12*$B$8/($C$8*4),0)</x:f>
        <x:v>1036304000</x:v>
      </x:c>
      <x:c r="O16" s="14" t="n">
        <x:f>IF(13&gt;=$D$8,B$12*$B$8/($C$8*4),0)+IF(12&gt;=$D$8,C$12*$B$8/($C$8*4),0)+IF(11&gt;=$D$8,D$12*$B$8/($C$8*4),0)+IF(10&gt;=$D$8,E$12*$B$8/($C$8*4),0)+IF(9&gt;=$D$8,F$12*$B$8/($C$8*4),0)+IF(8&gt;=$D$8,G$12*$B$8/($C$8*4),0)+IF(7&gt;=$D$8,H$12*$B$8/($C$8*4),0)+IF(6&gt;=$D$8,I$12*$B$8/($C$8*4),0)+IF(5&gt;=$D$8,J$12*$B$8/($C$8*4),0)+IF(4&gt;=$D$8,K$12*$B$8/($C$8*4),0)+IF(3&gt;=$D$8,L$12*$B$8/($C$8*4),0)+IF(2&gt;=$D$8,M$12*$B$8/($C$8*4),0)+IF(1&gt;=$D$8,N$12*$B$8/($C$8*4),0)+IF(0&gt;=$D$8,O$12*$B$8/($C$8*4),0)</x:f>
        <x:v>1148804000</x:v>
      </x:c>
      <x:c r="P16" s="14" t="n">
        <x:f>IF(14&gt;=$D$8,B$12*$B$8/($C$8*4),0)+IF(13&gt;=$D$8,C$12*$B$8/($C$8*4),0)+IF(12&gt;=$D$8,D$12*$B$8/($C$8*4),0)+IF(11&gt;=$D$8,E$12*$B$8/($C$8*4),0)+IF(10&gt;=$D$8,F$12*$B$8/($C$8*4),0)+IF(9&gt;=$D$8,G$12*$B$8/($C$8*4),0)+IF(8&gt;=$D$8,H$12*$B$8/($C$8*4),0)+IF(7&gt;=$D$8,I$12*$B$8/($C$8*4),0)+IF(6&gt;=$D$8,J$12*$B$8/($C$8*4),0)+IF(5&gt;=$D$8,K$12*$B$8/($C$8*4),0)+IF(4&gt;=$D$8,L$12*$B$8/($C$8*4),0)+IF(3&gt;=$D$8,M$12*$B$8/($C$8*4),0)+IF(2&gt;=$D$8,N$12*$B$8/($C$8*4),0)+IF(1&gt;=$D$8,O$12*$B$8/($C$8*4),0)+IF(0&gt;=$D$8,P$12*$B$8/($C$8*4),0)</x:f>
        <x:v>1251304000</x:v>
      </x:c>
      <x:c r="Q16" s="14" t="n">
        <x:f>IF(15&gt;=$D$8,B$12*$B$8/($C$8*4),0)+IF(14&gt;=$D$8,C$12*$B$8/($C$8*4),0)+IF(13&gt;=$D$8,D$12*$B$8/($C$8*4),0)+IF(12&gt;=$D$8,E$12*$B$8/($C$8*4),0)+IF(11&gt;=$D$8,F$12*$B$8/($C$8*4),0)+IF(10&gt;=$D$8,G$12*$B$8/($C$8*4),0)+IF(9&gt;=$D$8,H$12*$B$8/($C$8*4),0)+IF(8&gt;=$D$8,I$12*$B$8/($C$8*4),0)+IF(7&gt;=$D$8,J$12*$B$8/($C$8*4),0)+IF(6&gt;=$D$8,K$12*$B$8/($C$8*4),0)+IF(5&gt;=$D$8,L$12*$B$8/($C$8*4),0)+IF(4&gt;=$D$8,M$12*$B$8/($C$8*4),0)+IF(3&gt;=$D$8,N$12*$B$8/($C$8*4),0)+IF(2&gt;=$D$8,O$12*$B$8/($C$8*4),0)+IF(1&gt;=$D$8,P$12*$B$8/($C$8*4),0)+IF(0&gt;=$D$8,Q$12*$B$8/($C$8*4),0)</x:f>
        <x:v>1353804000</x:v>
      </x:c>
      <x:c r="R16" s="14" t="n">
        <x:f>IF(16&gt;=$D$8,B$12*$B$8/($C$8*4),0)+IF(15&gt;=$D$8,C$12*$B$8/($C$8*4),0)+IF(14&gt;=$D$8,D$12*$B$8/($C$8*4),0)+IF(13&gt;=$D$8,E$12*$B$8/($C$8*4),0)+IF(12&gt;=$D$8,F$12*$B$8/($C$8*4),0)+IF(11&gt;=$D$8,G$12*$B$8/($C$8*4),0)+IF(10&gt;=$D$8,H$12*$B$8/($C$8*4),0)+IF(9&gt;=$D$8,I$12*$B$8/($C$8*4),0)+IF(8&gt;=$D$8,J$12*$B$8/($C$8*4),0)+IF(7&gt;=$D$8,K$12*$B$8/($C$8*4),0)+IF(6&gt;=$D$8,L$12*$B$8/($C$8*4),0)+IF(5&gt;=$D$8,M$12*$B$8/($C$8*4),0)+IF(4&gt;=$D$8,N$12*$B$8/($C$8*4),0)+IF(3&gt;=$D$8,O$12*$B$8/($C$8*4),0)+IF(2&gt;=$D$8,P$12*$B$8/($C$8*4),0)+IF(1&gt;=$D$8,Q$12*$B$8/($C$8*4),0)+IF(0&gt;=$D$8,R$12*$B$8/($C$8*4),0)</x:f>
        <x:v>1456304000</x:v>
      </x:c>
      <x:c r="S16" s="14" t="n">
        <x:f>IF(17&gt;=$D$8,B$12*$B$8/($C$8*4),0)+IF(16&gt;=$D$8,C$12*$B$8/($C$8*4),0)+IF(15&gt;=$D$8,D$12*$B$8/($C$8*4),0)+IF(14&gt;=$D$8,E$12*$B$8/($C$8*4),0)+IF(13&gt;=$D$8,F$12*$B$8/($C$8*4),0)+IF(12&gt;=$D$8,G$12*$B$8/($C$8*4),0)+IF(11&gt;=$D$8,H$12*$B$8/($C$8*4),0)+IF(10&gt;=$D$8,I$12*$B$8/($C$8*4),0)+IF(9&gt;=$D$8,J$12*$B$8/($C$8*4),0)+IF(8&gt;=$D$8,K$12*$B$8/($C$8*4),0)+IF(7&gt;=$D$8,L$12*$B$8/($C$8*4),0)+IF(6&gt;=$D$8,M$12*$B$8/($C$8*4),0)+IF(5&gt;=$D$8,N$12*$B$8/($C$8*4),0)+IF(4&gt;=$D$8,O$12*$B$8/($C$8*4),0)+IF(3&gt;=$D$8,P$12*$B$8/($C$8*4),0)+IF(2&gt;=$D$8,Q$12*$B$8/($C$8*4),0)+IF(1&gt;=$D$8,R$12*$B$8/($C$8*4),0)+IF(0&gt;=$D$8,S$12*$B$8/($C$8*4),0)</x:f>
        <x:v>1558804000</x:v>
      </x:c>
      <x:c r="T16" s="14" t="n">
        <x:f>IF(18&gt;=$D$8,B$12*$B$8/($C$8*4),0)+IF(17&gt;=$D$8,C$12*$B$8/($C$8*4),0)+IF(16&gt;=$D$8,D$12*$B$8/($C$8*4),0)+IF(15&gt;=$D$8,E$12*$B$8/($C$8*4),0)+IF(14&gt;=$D$8,F$12*$B$8/($C$8*4),0)+IF(13&gt;=$D$8,G$12*$B$8/($C$8*4),0)+IF(12&gt;=$D$8,H$12*$B$8/($C$8*4),0)+IF(11&gt;=$D$8,I$12*$B$8/($C$8*4),0)+IF(10&gt;=$D$8,J$12*$B$8/($C$8*4),0)+IF(9&gt;=$D$8,K$12*$B$8/($C$8*4),0)+IF(8&gt;=$D$8,L$12*$B$8/($C$8*4),0)+IF(7&gt;=$D$8,M$12*$B$8/($C$8*4),0)+IF(6&gt;=$D$8,N$12*$B$8/($C$8*4),0)+IF(5&gt;=$D$8,O$12*$B$8/($C$8*4),0)+IF(4&gt;=$D$8,P$12*$B$8/($C$8*4),0)+IF(3&gt;=$D$8,Q$12*$B$8/($C$8*4),0)+IF(2&gt;=$D$8,R$12*$B$8/($C$8*4),0)+IF(1&gt;=$D$8,S$12*$B$8/($C$8*4),0)+IF(0&gt;=$D$8,T$12*$B$8/($C$8*4),0)</x:f>
        <x:v>1651304000</x:v>
      </x:c>
      <x:c r="U16" s="14" t="n">
        <x:f>IF(19&gt;=$D$8,B$12*$B$8/($C$8*4),0)+IF(18&gt;=$D$8,C$12*$B$8/($C$8*4),0)+IF(17&gt;=$D$8,D$12*$B$8/($C$8*4),0)+IF(16&gt;=$D$8,E$12*$B$8/($C$8*4),0)+IF(15&gt;=$D$8,F$12*$B$8/($C$8*4),0)+IF(14&gt;=$D$8,G$12*$B$8/($C$8*4),0)+IF(13&gt;=$D$8,H$12*$B$8/($C$8*4),0)+IF(12&gt;=$D$8,I$12*$B$8/($C$8*4),0)+IF(11&gt;=$D$8,J$12*$B$8/($C$8*4),0)+IF(10&gt;=$D$8,K$12*$B$8/($C$8*4),0)+IF(9&gt;=$D$8,L$12*$B$8/($C$8*4),0)+IF(8&gt;=$D$8,M$12*$B$8/($C$8*4),0)+IF(7&gt;=$D$8,N$12*$B$8/($C$8*4),0)+IF(6&gt;=$D$8,O$12*$B$8/($C$8*4),0)+IF(5&gt;=$D$8,P$12*$B$8/($C$8*4),0)+IF(4&gt;=$D$8,Q$12*$B$8/($C$8*4),0)+IF(3&gt;=$D$8,R$12*$B$8/($C$8*4),0)+IF(2&gt;=$D$8,S$12*$B$8/($C$8*4),0)+IF(1&gt;=$D$8,T$12*$B$8/($C$8*4),0)+IF(0&gt;=$D$8,U$12*$B$8/($C$8*4),0)</x:f>
        <x:v>1743804000</x:v>
      </x:c>
      <x:c r="V16" s="14" t="n">
        <x:f>IF(20&gt;=$D$8,B$12*$B$8/($C$8*4),0)+IF(19&gt;=$D$8,C$12*$B$8/($C$8*4),0)+IF(18&gt;=$D$8,D$12*$B$8/($C$8*4),0)+IF(17&gt;=$D$8,E$12*$B$8/($C$8*4),0)+IF(16&gt;=$D$8,F$12*$B$8/($C$8*4),0)+IF(15&gt;=$D$8,G$12*$B$8/($C$8*4),0)+IF(14&gt;=$D$8,H$12*$B$8/($C$8*4),0)+IF(13&gt;=$D$8,I$12*$B$8/($C$8*4),0)+IF(12&gt;=$D$8,J$12*$B$8/($C$8*4),0)+IF(11&gt;=$D$8,K$12*$B$8/($C$8*4),0)+IF(10&gt;=$D$8,L$12*$B$8/($C$8*4),0)+IF(9&gt;=$D$8,M$12*$B$8/($C$8*4),0)+IF(8&gt;=$D$8,N$12*$B$8/($C$8*4),0)+IF(7&gt;=$D$8,O$12*$B$8/($C$8*4),0)+IF(6&gt;=$D$8,P$12*$B$8/($C$8*4),0)+IF(5&gt;=$D$8,Q$12*$B$8/($C$8*4),0)+IF(4&gt;=$D$8,R$12*$B$8/($C$8*4),0)+IF(3&gt;=$D$8,S$12*$B$8/($C$8*4),0)+IF(2&gt;=$D$8,T$12*$B$8/($C$8*4),0)+IF(1&gt;=$D$8,U$12*$B$8/($C$8*4),0)+IF(0&gt;=$D$8,V$12*$B$8/($C$8*4),0)</x:f>
        <x:v>1836304000</x:v>
      </x:c>
      <x:c r="W16" s="14" t="n">
        <x:f>IF(21&gt;=$D$8,B$12*$B$8/($C$8*4),0)+IF(20&gt;=$D$8,C$12*$B$8/($C$8*4),0)+IF(19&gt;=$D$8,D$12*$B$8/($C$8*4),0)+IF(18&gt;=$D$8,E$12*$B$8/($C$8*4),0)+IF(17&gt;=$D$8,F$12*$B$8/($C$8*4),0)+IF(16&gt;=$D$8,G$12*$B$8/($C$8*4),0)+IF(15&gt;=$D$8,H$12*$B$8/($C$8*4),0)+IF(14&gt;=$D$8,I$12*$B$8/($C$8*4),0)+IF(13&gt;=$D$8,J$12*$B$8/($C$8*4),0)+IF(12&gt;=$D$8,K$12*$B$8/($C$8*4),0)+IF(11&gt;=$D$8,L$12*$B$8/($C$8*4),0)+IF(10&gt;=$D$8,M$12*$B$8/($C$8*4),0)+IF(9&gt;=$D$8,N$12*$B$8/($C$8*4),0)+IF(8&gt;=$D$8,O$12*$B$8/($C$8*4),0)+IF(7&gt;=$D$8,P$12*$B$8/($C$8*4),0)+IF(6&gt;=$D$8,Q$12*$B$8/($C$8*4),0)+IF(5&gt;=$D$8,R$12*$B$8/($C$8*4),0)+IF(4&gt;=$D$8,S$12*$B$8/($C$8*4),0)+IF(3&gt;=$D$8,T$12*$B$8/($C$8*4),0)+IF(2&gt;=$D$8,U$12*$B$8/($C$8*4),0)+IF(1&gt;=$D$8,V$12*$B$8/($C$8*4),0)+IF(0&gt;=$D$8,W$12*$B$8/($C$8*4),0)</x:f>
        <x:v>1928804000</x:v>
      </x:c>
    </x:row>
    <x:row r="17">
      <x:c r="A17" s="4" t="inlineStr">
        <x:is>
          <x:t xml:space="preserve">Total D&amp;A</x:t>
        </x:is>
      </x:c>
      <x:c r="B17" s="27" t="n">
        <x:f>B13+SUM(B14:B16)</x:f>
        <x:v>7471000000</x:v>
      </x:c>
      <x:c r="C17" s="27" t="n">
        <x:f>C13+SUM(C14:C16)</x:f>
        <x:v>8963525000</x:v>
      </x:c>
      <x:c r="D17" s="27" t="n">
        <x:f>D13+SUM(D14:D16)</x:f>
        <x:v>10953558333.333334</x:v>
      </x:c>
      <x:c r="E17" s="27" t="n">
        <x:f>E13+SUM(E14:E16)</x:f>
        <x:v>12888566666.666668</x:v>
      </x:c>
      <x:c r="F17" s="27" t="n">
        <x:f>F13+SUM(F14:F16)</x:f>
        <x:v>14924635333.333332</x:v>
      </x:c>
      <x:c r="G17" s="27" t="n">
        <x:f>G13+SUM(G14:G16)</x:f>
        <x:v>16960704000</x:v>
      </x:c>
      <x:c r="H17" s="27" t="n">
        <x:f>H13+SUM(H14:H16)</x:f>
        <x:v>18992370666.666664</x:v>
      </x:c>
      <x:c r="I17" s="27" t="n">
        <x:f>I13+SUM(I14:I16)</x:f>
        <x:v>20992787333.333332</x:v>
      </x:c>
      <x:c r="J17" s="27" t="n">
        <x:f>J13+SUM(J14:J16)</x:f>
        <x:v>22982787333.333332</x:v>
      </x:c>
      <x:c r="K17" s="27" t="n">
        <x:f>K13+SUM(K14:K16)</x:f>
        <x:v>24972787333.333332</x:v>
      </x:c>
      <x:c r="L17" s="27" t="n">
        <x:f>L13+SUM(L14:L16)</x:f>
        <x:v>26960287333.333332</x:v>
      </x:c>
      <x:c r="M17" s="27" t="n">
        <x:f>M13+SUM(M14:M16)</x:f>
        <x:v>28822787333.333332</x:v>
      </x:c>
      <x:c r="N17" s="27" t="n">
        <x:f>N13+SUM(N14:N16)</x:f>
        <x:v>30643620666.666664</x:v>
      </x:c>
      <x:c r="O17" s="27" t="n">
        <x:f>O13+SUM(O14:O16)</x:f>
        <x:v>32464454000</x:v>
      </x:c>
      <x:c r="P17" s="27" t="n">
        <x:f>P13+SUM(P14:P16)</x:f>
        <x:v>34275287333.333332</x:v>
      </x:c>
      <x:c r="Q17" s="27" t="n">
        <x:f>Q13+SUM(Q14:Q16)</x:f>
        <x:v>35961120666.666664</x:v>
      </x:c>
      <x:c r="R17" s="27" t="n">
        <x:f>R13+SUM(R14:R16)</x:f>
        <x:v>37605287333.33333</x:v>
      </x:c>
      <x:c r="S17" s="27" t="n">
        <x:f>S13+SUM(S14:S16)</x:f>
        <x:v>39249454000</x:v>
      </x:c>
      <x:c r="T17" s="27" t="n">
        <x:f>T13+SUM(T14:T16)</x:f>
        <x:v>40883620666.666664</x:v>
      </x:c>
      <x:c r="U17" s="27" t="n">
        <x:f>U13+SUM(U14:U16)</x:f>
        <x:v>42424037333.33333</x:v>
      </x:c>
      <x:c r="V17" s="27" t="n">
        <x:f>V13+SUM(V14:V16)</x:f>
        <x:v>43933204000</x:v>
      </x:c>
      <x:c r="W17" s="27" t="n">
        <x:f>W13+SUM(W14:W16)</x:f>
        <x:v>45442370666.666664</x:v>
      </x:c>
    </x:row>
    <x:row r="18">
      <x:c r="A18" s="2" t="n"/>
      <x:c r="B18" s="2" t="n"/>
      <x:c r="C18" s="2" t="n"/>
      <x:c r="D18" s="2" t="n"/>
      <x:c r="E18" s="2" t="n"/>
      <x:c r="F18" s="2" t="n"/>
      <x:c r="G18" s="2" t="n"/>
      <x:c r="H18" s="2" t="n"/>
      <x:c r="I18" s="2" t="n"/>
      <x:c r="J18" s="2" t="n"/>
      <x:c r="K18" s="2" t="n"/>
      <x:c r="L18" s="2" t="n"/>
      <x:c r="M18" s="2" t="n"/>
      <x:c r="N18" s="2" t="n"/>
      <x:c r="O18" s="2" t="n"/>
      <x:c r="P18" s="2" t="n"/>
      <x:c r="Q18" s="2" t="n"/>
      <x:c r="R18" s="2" t="n"/>
      <x:c r="S18" s="2" t="n"/>
      <x:c r="T18" s="2" t="n"/>
      <x:c r="U18" s="2" t="n"/>
      <x:c r="V18" s="2" t="n"/>
      <x:c r="W18" s="2" t="n"/>
    </x:row>
    <x:row r="19">
      <x:c r="A19" s="2" t="n"/>
      <x:c r="B19" s="2" t="n"/>
      <x:c r="C19" s="2" t="n"/>
      <x:c r="D19" s="2" t="n"/>
      <x:c r="E19" s="2" t="n"/>
      <x:c r="F19" s="2" t="n"/>
      <x:c r="G19" s="2" t="n"/>
      <x:c r="H19" s="2" t="n"/>
      <x:c r="I19" s="2" t="n"/>
      <x:c r="J19" s="2" t="n"/>
      <x:c r="K19" s="2" t="n"/>
      <x:c r="L19" s="2" t="n"/>
      <x:c r="M19" s="2" t="n"/>
      <x:c r="N19" s="2" t="n"/>
      <x:c r="O19" s="2" t="n"/>
      <x:c r="P19" s="2" t="n"/>
      <x:c r="Q19" s="2" t="n"/>
      <x:c r="R19" s="2" t="n"/>
      <x:c r="S19" s="2" t="n"/>
      <x:c r="T19" s="2" t="n"/>
      <x:c r="U19" s="2" t="n"/>
      <x:c r="V19" s="2" t="n"/>
      <x:c r="W19" s="2" t="n"/>
    </x:row>
    <x:row r="20">
      <x:c r="A20" s="2" t="inlineStr">
        <x:is>
          <x:t xml:space="preserve">Annual D&amp;A</x:t>
        </x:is>
      </x:c>
      <x:c r="B20" s="27" t="n">
        <x:f>Drivers!B19+SUM(B17:C17)</x:f>
        <x:v>30565525000</x:v>
      </x:c>
      <x:c r="C20" s="27" t="n">
        <x:f>SUM(D17:G17)</x:f>
        <x:v>55727464333.33333</x:v>
      </x:c>
      <x:c r="D20" s="27" t="n">
        <x:f>SUM(H17:K17)</x:f>
        <x:v>87940732666.66666</x:v>
      </x:c>
      <x:c r="E20" s="27" t="n">
        <x:f>SUM(L17:O17)</x:f>
        <x:v>118891149333.33333</x:v>
      </x:c>
      <x:c r="F20" s="27" t="n">
        <x:f>SUM(P17:S17)</x:f>
        <x:v>147091149333.3333</x:v>
      </x:c>
      <x:c r="G20" s="27" t="n">
        <x:f>SUM(T17:W17)</x:f>
        <x:v>172683232666.66666</x:v>
      </x:c>
      <x:c r="H20" s="2" t="n"/>
      <x:c r="I20" s="2" t="n"/>
      <x:c r="J20" s="2" t="n"/>
      <x:c r="K20" s="2" t="n"/>
      <x:c r="L20" s="2" t="n"/>
      <x:c r="M20" s="2" t="n"/>
      <x:c r="N20" s="2" t="n"/>
      <x:c r="O20" s="2" t="n"/>
      <x:c r="P20" s="2" t="n"/>
      <x:c r="Q20" s="2" t="n"/>
      <x:c r="R20" s="2" t="n"/>
      <x:c r="S20" s="2" t="n"/>
      <x:c r="T20" s="2" t="n"/>
      <x:c r="U20" s="2" t="n"/>
      <x:c r="V20" s="2" t="n"/>
      <x:c r="W20" s="2" t="n"/>
    </x:row>
    <x:row r="21">
      <x:c r="A21" s="2" t="inlineStr">
        <x:is>
          <x:t xml:space="preserve">Opening / legacy</x:t>
        </x:is>
      </x:c>
      <x:c r="B21" s="14" t="n">
        <x:f>Drivers!B19+SUM(B13:C13)</x:f>
        <x:v>29073000000</x:v>
      </x:c>
      <x:c r="C21" s="14" t="n">
        <x:f>SUM(D13:G13)</x:f>
        <x:v>29884000000</x:v>
      </x:c>
      <x:c r="D21" s="14" t="n">
        <x:f>SUM(H13:K13)</x:f>
        <x:v>29884000000</x:v>
      </x:c>
      <x:c r="E21" s="14" t="n">
        <x:f>SUM(L13:O13)</x:f>
        <x:v>29884000000</x:v>
      </x:c>
      <x:c r="F21" s="14" t="n">
        <x:f>SUM(P13:S13)</x:f>
        <x:v>29884000000</x:v>
      </x:c>
      <x:c r="G21" s="14" t="n">
        <x:f>SUM(T13:W13)</x:f>
        <x:v>29884000000</x:v>
      </x:c>
      <x:c r="H21" s="2" t="n"/>
      <x:c r="I21" s="2" t="n"/>
      <x:c r="J21" s="2" t="n"/>
      <x:c r="K21" s="2" t="n"/>
      <x:c r="L21" s="2" t="n"/>
      <x:c r="M21" s="2" t="n"/>
      <x:c r="N21" s="2" t="n"/>
      <x:c r="O21" s="2" t="n"/>
      <x:c r="P21" s="2" t="n"/>
      <x:c r="Q21" s="2" t="n"/>
      <x:c r="R21" s="2" t="n"/>
      <x:c r="S21" s="2" t="n"/>
      <x:c r="T21" s="2" t="n"/>
      <x:c r="U21" s="2" t="n"/>
      <x:c r="V21" s="2" t="n"/>
      <x:c r="W21" s="2" t="n"/>
    </x:row>
    <x:row r="22">
      <x:c r="A22" s="2" t="inlineStr">
        <x:is>
          <x:t xml:space="preserve">Forecast vintages</x:t>
        </x:is>
      </x:c>
      <x:c r="B22" s="14" t="n">
        <x:f>B20-B21</x:f>
        <x:v>1492525000</x:v>
      </x:c>
      <x:c r="C22" s="14" t="n">
        <x:f>C20-C21</x:f>
        <x:v>25843464333.33333</x:v>
      </x:c>
      <x:c r="D22" s="14" t="n">
        <x:f>D20-D21</x:f>
        <x:v>58056732666.66666</x:v>
      </x:c>
      <x:c r="E22" s="14" t="n">
        <x:f>E20-E21</x:f>
        <x:v>89007149333.33333</x:v>
      </x:c>
      <x:c r="F22" s="14" t="n">
        <x:f>F20-F21</x:f>
        <x:v>117207149333.33331</x:v>
      </x:c>
      <x:c r="G22" s="14" t="n">
        <x:f>G20-G21</x:f>
        <x:v>142799232666.66666</x:v>
      </x:c>
      <x:c r="H22" s="2" t="n"/>
      <x:c r="I22" s="2" t="n"/>
      <x:c r="J22" s="2" t="n"/>
      <x:c r="K22" s="2" t="n"/>
      <x:c r="L22" s="2" t="n"/>
      <x:c r="M22" s="2" t="n"/>
      <x:c r="N22" s="2" t="n"/>
      <x:c r="O22" s="2" t="n"/>
      <x:c r="P22" s="2" t="n"/>
      <x:c r="Q22" s="2" t="n"/>
      <x:c r="R22" s="2" t="n"/>
      <x:c r="S22" s="2" t="n"/>
      <x:c r="T22" s="2" t="n"/>
      <x:c r="U22" s="2" t="n"/>
      <x:c r="V22" s="2" t="n"/>
      <x:c r="W22" s="2" t="n"/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6" customWidth="1"/>
    <x:col min="2" max="2" width="17" customWidth="1"/>
    <x:col min="3" max="3" width="17" customWidth="1"/>
    <x:col min="4" max="4" width="17" customWidth="1"/>
    <x:col min="5" max="5" width="17" customWidth="1"/>
    <x:col min="6" max="6" width="17" customWidth="1"/>
    <x:col min="7" max="7" width="17" customWidth="1"/>
    <x:col min="8" max="8" width="54" customWidth="1"/>
  </x:cols>
  <x:sheetData>
    <x:row r="1">
      <x:c r="A1" s="1" t="inlineStr">
        <x:is>
          <x:t xml:space="preserve">Dated FCFF DCF cross-check</x:t>
        </x:is>
      </x:c>
      <x:c r="B1" s="2" t="n"/>
      <x:c r="C1" s="2" t="n"/>
      <x:c r="D1" s="2" t="n"/>
      <x:c r="E1" s="2" t="n"/>
      <x:c r="F1" s="2" t="n"/>
      <x:c r="G1" s="2" t="n"/>
      <x:c r="H1" s="2" t="n"/>
    </x:row>
    <x:row r="2">
      <x:c r="A2" s="3" t="inlineStr">
        <x:is>
          <x:t xml:space="preserve">The primary trade frame is FY2027 EPS × multiple. This DCF excludes reported H1 and normalizes terminal reinvestment.</x:t>
        </x:is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</x:row>
    <x:row r="4">
      <x:c r="A4" s="11" t="inlineStr">
        <x:is>
          <x:t xml:space="preserve">Line</x:t>
        </x:is>
      </x:c>
      <x:c r="B4" s="12" t="inlineStr">
        <x:is>
          <x:t xml:space="preserve">2026 stub</x:t>
        </x:is>
      </x:c>
      <x:c r="C4" s="12" t="inlineStr">
        <x:is>
          <x:t xml:space="preserve">2027</x:t>
        </x:is>
      </x:c>
      <x:c r="D4" s="12" t="inlineStr">
        <x:is>
          <x:t xml:space="preserve">2028</x:t>
        </x:is>
      </x:c>
      <x:c r="E4" s="12" t="inlineStr">
        <x:is>
          <x:t xml:space="preserve">2029</x:t>
        </x:is>
      </x:c>
      <x:c r="F4" s="12" t="inlineStr">
        <x:is>
          <x:t xml:space="preserve">2030</x:t>
        </x:is>
      </x:c>
      <x:c r="G4" s="12" t="inlineStr">
        <x:is>
          <x:t xml:space="preserve">2031</x:t>
        </x:is>
      </x:c>
      <x:c r="H4" s="12" t="inlineStr">
        <x:is>
          <x:t xml:space="preserve">Note</x:t>
        </x:is>
      </x:c>
    </x:row>
    <x:row r="5">
      <x:c r="A5" s="21" t="inlineStr">
        <x:is>
          <x:t xml:space="preserve">Revenue</x:t>
        </x:is>
      </x:c>
      <x:c r="B5" s="14" t="n">
        <x:f>Revenue!B11</x:f>
        <x:v>213231815591.66302</x:v>
      </x:c>
      <x:c r="C5" s="14" t="n">
        <x:f>Revenue!C5</x:f>
        <x:v>577322790229.9143</x:v>
      </x:c>
      <x:c r="D5" s="14" t="n">
        <x:f>Revenue!D5</x:f>
        <x:v>655780957422.1597</x:v>
      </x:c>
      <x:c r="E5" s="14" t="n">
        <x:f>Revenue!E5</x:f>
        <x:v>734736984695.7877</x:v>
      </x:c>
      <x:c r="F5" s="14" t="n">
        <x:f>Revenue!F5</x:f>
        <x:v>814309000138.3416</x:v>
      </x:c>
      <x:c r="G5" s="14" t="n">
        <x:f>Revenue!G5</x:f>
        <x:v>891912647851.5255</x:v>
      </x:c>
      <x:c r="H5" s="2" t="n"/>
    </x:row>
    <x:row r="6">
      <x:c r="A6" s="21" t="inlineStr">
        <x:is>
          <x:t xml:space="preserve">EBITDA</x:t>
        </x:is>
      </x:c>
      <x:c r="B6" s="14" t="n">
        <x:f>(Drivers!B5*Drivers!B7-(Drivers!B18+Drivers!B19))*Revenue!B10</x:f>
        <x:v>77201995307.13809</x:v>
      </x:c>
      <x:c r="C6" s="14" t="n">
        <x:f>C5*Drivers!C7</x:f>
        <x:v>226310533770.1264</x:v>
      </x:c>
      <x:c r="D6" s="14" t="n">
        <x:f>D5*Drivers!D7</x:f>
        <x:v>261000821054.01956</x:v>
      </x:c>
      <x:c r="E6" s="14" t="n">
        <x:f>E5*Drivers!E7</x:f>
        <x:v>295364267847.70667</x:v>
      </x:c>
      <x:c r="F6" s="14" t="n">
        <x:f>F5*Drivers!F7</x:f>
        <x:v>329795145056.0283</x:v>
      </x:c>
      <x:c r="G6" s="14" t="n">
        <x:f>G5*Drivers!G7</x:f>
        <x:v>363008447675.57086</x:v>
      </x:c>
      <x:c r="H6" s="2" t="n"/>
    </x:row>
    <x:row r="7">
      <x:c r="A7" s="21" t="inlineStr">
        <x:is>
          <x:t xml:space="preserve">D&amp;A</x:t>
        </x:is>
      </x:c>
      <x:c r="B7" s="14" t="n">
        <x:f>Depreciation!B17*(54/92)+Depreciation!C17</x:f>
        <x:v>13348677173.913044</x:v>
      </x:c>
      <x:c r="C7" s="14" t="n">
        <x:f>Depreciation!C20</x:f>
        <x:v>55727464333.33333</x:v>
      </x:c>
      <x:c r="D7" s="14" t="n">
        <x:f>Depreciation!D20</x:f>
        <x:v>87940732666.66666</x:v>
      </x:c>
      <x:c r="E7" s="14" t="n">
        <x:f>Depreciation!E20</x:f>
        <x:v>118891149333.33333</x:v>
      </x:c>
      <x:c r="F7" s="14" t="n">
        <x:f>Depreciation!F20</x:f>
        <x:v>147091149333.3333</x:v>
      </x:c>
      <x:c r="G7" s="14" t="n">
        <x:f>Depreciation!G20</x:f>
        <x:v>172683232666.66666</x:v>
      </x:c>
      <x:c r="H7" s="2" t="n"/>
    </x:row>
    <x:row r="8">
      <x:c r="A8" s="4" t="inlineStr">
        <x:is>
          <x:t xml:space="preserve">EBIT</x:t>
        </x:is>
      </x:c>
      <x:c r="B8" s="14" t="n">
        <x:f>B6-B7</x:f>
        <x:v>63853318133.22505</x:v>
      </x:c>
      <x:c r="C8" s="14" t="n">
        <x:f>C6-C7</x:f>
        <x:v>170583069436.7931</x:v>
      </x:c>
      <x:c r="D8" s="14" t="n">
        <x:f>D6-D7</x:f>
        <x:v>173060088387.3529</x:v>
      </x:c>
      <x:c r="E8" s="14" t="n">
        <x:f>E6-E7</x:f>
        <x:v>176473118514.37335</x:v>
      </x:c>
      <x:c r="F8" s="14" t="n">
        <x:f>F6-F7</x:f>
        <x:v>182703995722.695</x:v>
      </x:c>
      <x:c r="G8" s="14" t="n">
        <x:f>G6-G7</x:f>
        <x:v>190325215008.9042</x:v>
      </x:c>
      <x:c r="H8" s="2" t="n"/>
    </x:row>
    <x:row r="9">
      <x:c r="A9" s="21" t="inlineStr">
        <x:is>
          <x:t xml:space="preserve">Tax rate</x:t>
        </x:is>
      </x:c>
      <x:c r="B9" s="24" t="n">
        <x:f>Drivers!B9</x:f>
        <x:v>0.185</x:v>
      </x:c>
      <x:c r="C9" s="24" t="n">
        <x:f>Drivers!C9</x:f>
        <x:v>0.185</x:v>
      </x:c>
      <x:c r="D9" s="24" t="n">
        <x:f>Drivers!D9</x:f>
        <x:v>0.185</x:v>
      </x:c>
      <x:c r="E9" s="24" t="n">
        <x:f>Drivers!E9</x:f>
        <x:v>0.185</x:v>
      </x:c>
      <x:c r="F9" s="24" t="n">
        <x:f>Drivers!F9</x:f>
        <x:v>0.185</x:v>
      </x:c>
      <x:c r="G9" s="24" t="n">
        <x:f>Drivers!G9</x:f>
        <x:v>0.185</x:v>
      </x:c>
      <x:c r="H9" s="2" t="n"/>
    </x:row>
    <x:row r="10">
      <x:c r="A10" s="4" t="inlineStr">
        <x:is>
          <x:t xml:space="preserve">NOPAT</x:t>
        </x:is>
      </x:c>
      <x:c r="B10" s="14" t="n">
        <x:f>B8*(1-B9)</x:f>
        <x:v>52040454278.578415</x:v>
      </x:c>
      <x:c r="C10" s="14" t="n">
        <x:f>C8*(1-C9)</x:f>
        <x:v>139025201590.98636</x:v>
      </x:c>
      <x:c r="D10" s="14" t="n">
        <x:f>D8*(1-D9)</x:f>
        <x:v>141043972035.6926</x:v>
      </x:c>
      <x:c r="E10" s="14" t="n">
        <x:f>E8*(1-E9)</x:f>
        <x:v>143825591589.21426</x:v>
      </x:c>
      <x:c r="F10" s="14" t="n">
        <x:f>F8*(1-F9)</x:f>
        <x:v>148903756513.99643</x:v>
      </x:c>
      <x:c r="G10" s="14" t="n">
        <x:f>G8*(1-G9)</x:f>
        <x:v>155115050232.25693</x:v>
      </x:c>
      <x:c r="H10" s="2" t="n"/>
    </x:row>
    <x:row r="11">
      <x:c r="A11" s="21" t="inlineStr">
        <x:is>
          <x:t xml:space="preserve">Capex</x:t>
        </x:is>
      </x:c>
      <x:c r="B11" s="14" t="n">
        <x:f>Depreciation!B12*(54/92)+Depreciation!C12</x:f>
        <x:v>94742891304.34784</x:v>
      </x:c>
      <x:c r="C11" s="14" t="n">
        <x:f>Drivers!C8</x:f>
        <x:v>230000000000</x:v>
      </x:c>
      <x:c r="D11" s="14" t="n">
        <x:f>Drivers!D8</x:f>
        <x:v>225000000000</x:v>
      </x:c>
      <x:c r="E11" s="14" t="n">
        <x:f>Drivers!E8</x:f>
        <x:v>205000000000</x:v>
      </x:c>
      <x:c r="F11" s="14" t="n">
        <x:f>Drivers!F8</x:f>
        <x:v>185000000000</x:v>
      </x:c>
      <x:c r="G11" s="14" t="n">
        <x:f>Drivers!G8</x:f>
        <x:v>170000000000</x:v>
      </x:c>
      <x:c r="H11" s="2" t="n"/>
    </x:row>
    <x:row r="12">
      <x:c r="A12" s="21" t="inlineStr">
        <x:is>
          <x:t xml:space="preserve">Change in NWC</x:t>
        </x:is>
      </x:c>
      <x:c r="B12" s="14" t="n">
        <x:f>B5*Drivers!B10</x:f>
        <x:v>3198477233.874945</x:v>
      </x:c>
      <x:c r="C12" s="14" t="n">
        <x:f>(Revenue!C5-Revenue!B5)*Drivers!C10</x:f>
        <x:v>1183504243.6337144</x:v>
      </x:c>
      <x:c r="D12" s="14" t="n">
        <x:f>(Revenue!D5-Revenue!C5)*Drivers!D10</x:f>
        <x:v>1176872507.8836803</x:v>
      </x:c>
      <x:c r="E12" s="14" t="n">
        <x:f>(Revenue!E5-Revenue!D5)*Drivers!E10</x:f>
        <x:v>1184340409.1044207</x:v>
      </x:c>
      <x:c r="F12" s="14" t="n">
        <x:f>(Revenue!F5-Revenue!E5)*Drivers!F10</x:f>
        <x:v>1193580231.6383073</x:v>
      </x:c>
      <x:c r="G12" s="14" t="n">
        <x:f>(Revenue!G5-Revenue!F5)*Drivers!G10</x:f>
        <x:v>1164054715.6977594</x:v>
      </x:c>
      <x:c r="H12" s="2" t="n"/>
    </x:row>
    <x:row r="13">
      <x:c r="A13" s="4" t="inlineStr">
        <x:is>
          <x:t xml:space="preserve">FCFF</x:t>
        </x:is>
      </x:c>
      <x:c r="B13" s="14" t="n">
        <x:f>B10+B7-B11-B12</x:f>
        <x:v>-32552237085.73133</x:v>
      </x:c>
      <x:c r="C13" s="14" t="n">
        <x:f>C10+C7-C11-C12</x:f>
        <x:v>-36430838319.31401</x:v>
      </x:c>
      <x:c r="D13" s="14" t="n">
        <x:f>D10+D7-D11-D12</x:f>
        <x:v>2807832194.4755726</x:v>
      </x:c>
      <x:c r="E13" s="14" t="n">
        <x:f>E10+E7-E11-E12</x:f>
        <x:v>56532400513.443184</x:v>
      </x:c>
      <x:c r="F13" s="14" t="n">
        <x:f>F10+F7-F11-F12</x:f>
        <x:v>109801325615.6914</x:v>
      </x:c>
      <x:c r="G13" s="14" t="n">
        <x:f>G10+G7-G11-G12</x:f>
        <x:v>156634228183.22583</x:v>
      </x:c>
      <x:c r="H13" s="2" t="n"/>
    </x:row>
    <x:row r="14">
      <x:c r="A14" s="21" t="inlineStr">
        <x:is>
          <x:t xml:space="preserve">Discount exponent</x:t>
        </x:is>
      </x:c>
      <x:c r="B14" s="30" t="n">
        <x:f>0.1986</x:f>
        <x:v>0.1986</x:v>
      </x:c>
      <x:c r="C14" s="30" t="n">
        <x:f>0.8986</x:f>
        <x:v>0.8986</x:v>
      </x:c>
      <x:c r="D14" s="30" t="n">
        <x:f>1.8986</x:f>
        <x:v>1.8986</x:v>
      </x:c>
      <x:c r="E14" s="30" t="n">
        <x:f>2.8986</x:f>
        <x:v>2.8986</x:v>
      </x:c>
      <x:c r="F14" s="30" t="n">
        <x:f>3.8986</x:f>
        <x:v>3.8986</x:v>
      </x:c>
      <x:c r="G14" s="30" t="n">
        <x:f>4.8986</x:f>
        <x:v>4.8986</x:v>
      </x:c>
      <x:c r="H14" s="2" t="n"/>
    </x:row>
    <x:row r="15">
      <x:c r="A15" s="21" t="inlineStr">
        <x:is>
          <x:t xml:space="preserve">Discount factor</x:t>
        </x:is>
      </x:c>
      <x:c r="B15" s="30" t="n">
        <x:f>1/(1+WACC!$B$15)^B14</x:f>
        <x:v>0.9833653465966072</x:v>
      </x:c>
      <x:c r="C15" s="30" t="n">
        <x:f>1/(1+WACC!$B$15)^C14</x:f>
        <x:v>0.9269094421519842</x:v>
      </x:c>
      <x:c r="D15" s="30" t="n">
        <x:f>1/(1+WACC!$B$15)^D14</x:f>
        <x:v>0.8518341159359155</x:v>
      </x:c>
      <x:c r="E15" s="30" t="n">
        <x:f>1/(1+WACC!$B$15)^E14</x:f>
        <x:v>0.7828395397371983</x:v>
      </x:c>
      <x:c r="F15" s="30" t="n">
        <x:f>1/(1+WACC!$B$15)^F14</x:f>
        <x:v>0.7194332012666808</x:v>
      </x:c>
      <x:c r="G15" s="30" t="n">
        <x:f>1/(1+WACC!$B$15)^G14</x:f>
        <x:v>0.6611624794253226</x:v>
      </x:c>
      <x:c r="H15" s="2" t="n"/>
    </x:row>
    <x:row r="16">
      <x:c r="A16" s="4" t="inlineStr">
        <x:is>
          <x:t xml:space="preserve">PV of FCFF</x:t>
        </x:is>
      </x:c>
      <x:c r="B16" s="14" t="n">
        <x:f>B13*B15</x:f>
        <x:v>-32010741904.305122</x:v>
      </x:c>
      <x:c r="C16" s="14" t="n">
        <x:f>C13*C15</x:f>
        <x:v>-33768088023.68448</x:v>
      </x:c>
      <x:c r="D16" s="14" t="n">
        <x:f>D13*D15</x:f>
        <x:v>2391807255.077501</x:v>
      </x:c>
      <x:c r="E16" s="14" t="n">
        <x:f>E13*E15</x:f>
        <x:v>44255798398.182816</x:v>
      </x:c>
      <x:c r="F16" s="14" t="n">
        <x:f>F13*F15</x:f>
        <x:v>78994719191.02206</x:v>
      </x:c>
      <x:c r="G16" s="14" t="n">
        <x:f>G13*G15</x:f>
        <x:v>103560674668.49333</x:v>
      </x:c>
      <x:c r="H16" s="2" t="n"/>
    </x:row>
    <x:row r="17">
      <x:c r="A17" s="2" t="n"/>
      <x:c r="B17" s="2" t="n"/>
      <x:c r="C17" s="2" t="n"/>
      <x:c r="D17" s="2" t="n"/>
      <x:c r="E17" s="2" t="n"/>
      <x:c r="F17" s="2" t="n"/>
      <x:c r="G17" s="2" t="n"/>
      <x:c r="H17" s="2" t="n"/>
    </x:row>
    <x:row r="18">
      <x:c r="A18" s="2" t="n"/>
      <x:c r="B18" s="2" t="n"/>
      <x:c r="C18" s="2" t="n"/>
      <x:c r="D18" s="2" t="n"/>
      <x:c r="E18" s="2" t="n"/>
      <x:c r="F18" s="2" t="n"/>
      <x:c r="G18" s="2" t="n"/>
      <x:c r="H18" s="2" t="n"/>
    </x:row>
    <x:row r="19">
      <x:c r="A19" s="4" t="inlineStr">
        <x:is>
          <x:t xml:space="preserve">PV explicit</x:t>
        </x:is>
      </x:c>
      <x:c r="B19" s="14" t="n">
        <x:f>SUM(B16:G16)</x:f>
        <x:v>163424169584.7861</x:v>
      </x:c>
      <x:c r="C19" s="2" t="n"/>
      <x:c r="D19" s="2" t="n"/>
      <x:c r="E19" s="2" t="n"/>
      <x:c r="F19" s="2" t="n"/>
      <x:c r="G19" s="2" t="n"/>
      <x:c r="H19" s="2" t="n"/>
    </x:row>
    <x:row r="20">
      <x:c r="A20" s="4" t="inlineStr">
        <x:is>
          <x:t xml:space="preserve">Next-period NOPAT</x:t>
        </x:is>
      </x:c>
      <x:c r="B20" s="14" t="n">
        <x:f>G10*(1+Drivers!B21)</x:f>
        <x:v>159768501739.22464</x:v>
      </x:c>
      <x:c r="C20" s="2" t="n"/>
      <x:c r="D20" s="2" t="n"/>
      <x:c r="E20" s="2" t="n"/>
      <x:c r="F20" s="2" t="n"/>
      <x:c r="G20" s="2" t="n"/>
      <x:c r="H20" s="2" t="n"/>
    </x:row>
    <x:row r="21">
      <x:c r="A21" s="4" t="inlineStr">
        <x:is>
          <x:t xml:space="preserve">Terminal ROIC</x:t>
        </x:is>
      </x:c>
      <x:c r="B21" s="24" t="n">
        <x:f>Drivers!B22</x:f>
        <x:v>0.18</x:v>
      </x:c>
      <x:c r="C21" s="2" t="n"/>
      <x:c r="D21" s="2" t="n"/>
      <x:c r="E21" s="2" t="n"/>
      <x:c r="F21" s="2" t="n"/>
      <x:c r="G21" s="2" t="n"/>
      <x:c r="H21" s="2" t="n"/>
    </x:row>
    <x:row r="22">
      <x:c r="A22" s="4" t="inlineStr">
        <x:is>
          <x:t xml:space="preserve">Reinvestment rate</x:t>
        </x:is>
      </x:c>
      <x:c r="B22" s="24" t="n">
        <x:f>Drivers!B21/B21</x:f>
        <x:v>0.16666666666666666</x:v>
      </x:c>
      <x:c r="C22" s="2" t="n"/>
      <x:c r="D22" s="2" t="n"/>
      <x:c r="E22" s="2" t="n"/>
      <x:c r="F22" s="2" t="n"/>
      <x:c r="G22" s="2" t="n"/>
      <x:c r="H22" s="2" t="n"/>
    </x:row>
    <x:row r="23">
      <x:c r="A23" s="4" t="inlineStr">
        <x:is>
          <x:t xml:space="preserve">Normalized reinvestment</x:t>
        </x:is>
      </x:c>
      <x:c r="B23" s="14" t="n">
        <x:f>B20*B22</x:f>
        <x:v>26628083623.204105</x:v>
      </x:c>
      <x:c r="C23" s="2" t="n"/>
      <x:c r="D23" s="2" t="n"/>
      <x:c r="E23" s="2" t="n"/>
      <x:c r="F23" s="2" t="n"/>
      <x:c r="G23" s="2" t="n"/>
      <x:c r="H23" s="2" t="n"/>
    </x:row>
    <x:row r="24">
      <x:c r="A24" s="4" t="inlineStr">
        <x:is>
          <x:t xml:space="preserve">Terminal FCFF</x:t>
        </x:is>
      </x:c>
      <x:c r="B24" s="14" t="n">
        <x:f>B20-B23</x:f>
        <x:v>133140418116.02054</x:v>
      </x:c>
      <x:c r="C24" s="2" t="n"/>
      <x:c r="D24" s="2" t="n"/>
      <x:c r="E24" s="2" t="n"/>
      <x:c r="F24" s="2" t="n"/>
      <x:c r="G24" s="2" t="n"/>
      <x:c r="H24" s="2" t="n"/>
    </x:row>
    <x:row r="25">
      <x:c r="A25" s="4" t="inlineStr">
        <x:is>
          <x:t xml:space="preserve">Terminal value</x:t>
        </x:is>
      </x:c>
      <x:c r="B25" s="14" t="n">
        <x:f>B24/(WACC!B15-Drivers!B21)</x:f>
        <x:v>2290243477736.0303</x:v>
      </x:c>
      <x:c r="C25" s="2" t="n"/>
      <x:c r="D25" s="2" t="n"/>
      <x:c r="E25" s="2" t="n"/>
      <x:c r="F25" s="2" t="n"/>
      <x:c r="G25" s="2" t="n"/>
      <x:c r="H25" s="2" t="n"/>
    </x:row>
    <x:row r="26">
      <x:c r="A26" s="4" t="inlineStr">
        <x:is>
          <x:t xml:space="preserve">Terminal exponent</x:t>
        </x:is>
      </x:c>
      <x:c r="B26" s="30" t="n">
        <x:f>5.4</x:f>
        <x:v>5.4</x:v>
      </x:c>
      <x:c r="C26" s="2" t="n"/>
      <x:c r="D26" s="2" t="n"/>
      <x:c r="E26" s="2" t="n"/>
      <x:c r="F26" s="2" t="n"/>
      <x:c r="G26" s="2" t="n"/>
      <x:c r="H26" s="2" t="n"/>
    </x:row>
    <x:row r="27">
      <x:c r="A27" s="4" t="inlineStr">
        <x:is>
          <x:t xml:space="preserve">PV terminal</x:t>
        </x:is>
      </x:c>
      <x:c r="B27" s="14" t="n">
        <x:f>B25/(1+WACC!B15)^B26</x:f>
        <x:v>1451434230232.7458</x:v>
      </x:c>
      <x:c r="C27" s="2" t="n"/>
      <x:c r="D27" s="2" t="n"/>
      <x:c r="E27" s="2" t="n"/>
      <x:c r="F27" s="2" t="n"/>
      <x:c r="G27" s="2" t="n"/>
      <x:c r="H27" s="2" t="n"/>
    </x:row>
    <x:row r="28">
      <x:c r="A28" s="4" t="inlineStr">
        <x:is>
          <x:t xml:space="preserve">Enterprise value</x:t>
        </x:is>
      </x:c>
      <x:c r="B28" s="27" t="n">
        <x:f>B19+B27</x:f>
        <x:v>1614858399817.532</x:v>
      </x:c>
      <x:c r="C28" s="2" t="n"/>
      <x:c r="D28" s="2" t="n"/>
      <x:c r="E28" s="2" t="n"/>
      <x:c r="F28" s="2" t="n"/>
      <x:c r="G28" s="2" t="n"/>
      <x:c r="H28" s="2" t="n"/>
    </x:row>
    <x:row r="29">
      <x:c r="A29" s="4" t="inlineStr">
        <x:is>
          <x:t xml:space="preserve">Estimated interim FCFF</x:t>
        </x:is>
      </x:c>
      <x:c r="B29" s="14" t="n">
        <x:f>((Drivers!B5*Drivers!B7-(Drivers!B18+Drivers!B19)-SUM(Depreciation!B17:C17))*(1-Drivers!B9)+SUM(Depreciation!B17:C17)-(Drivers!B8-Drivers!B20)-(Drivers!B5-Drivers!B17)*Drivers!B10)*(38/184)</x:f>
        <x:v>-8487341975.578224</x:v>
      </x:c>
      <x:c r="C29" s="2" t="n"/>
      <x:c r="D29" s="2" t="n"/>
      <x:c r="E29" s="2" t="n"/>
      <x:c r="F29" s="2" t="n"/>
      <x:c r="G29" s="2" t="n"/>
      <x:c r="H29" s="2" t="n"/>
    </x:row>
    <x:row r="30">
      <x:c r="A30" s="2" t="n"/>
      <x:c r="B30" s="2" t="n"/>
      <x:c r="C30" s="2" t="n"/>
      <x:c r="D30" s="2" t="n"/>
      <x:c r="E30" s="2" t="n"/>
      <x:c r="F30" s="2" t="n"/>
      <x:c r="G30" s="2" t="n"/>
      <x:c r="H30" s="2" t="n"/>
    </x:row>
    <x:row r="31">
      <x:c r="A31" s="4" t="inlineStr">
        <x:is>
          <x:t xml:space="preserve">Terminal value / EV</x:t>
        </x:is>
      </x:c>
      <x:c r="B31" s="24" t="n">
        <x:f>B27/B28</x:f>
        <x:v>0.8987996906705554</x:v>
      </x:c>
      <x:c r="C31" s="2" t="n"/>
      <x:c r="D31" s="2" t="n"/>
      <x:c r="E31" s="2" t="n"/>
      <x:c r="F31" s="2" t="n"/>
      <x:c r="G31" s="2" t="n"/>
      <x:c r="H31" s="2" t="n"/>
    </x:row>
    <x:row r="32">
      <x:c r="A32" s="2" t="n"/>
      <x:c r="B32" s="2" t="n"/>
      <x:c r="C32" s="2" t="n"/>
      <x:c r="D32" s="2" t="n"/>
      <x:c r="E32" s="2" t="n"/>
      <x:c r="F32" s="2" t="n"/>
      <x:c r="G32" s="2" t="n"/>
      <x:c r="H32" s="2" t="n"/>
    </x:row>
    <x:row r="33">
      <x:c r="A33" s="4" t="inlineStr">
        <x:is>
          <x:t xml:space="preserve">Equity value</x:t>
        </x:is>
      </x:c>
      <x:c r="B33" s="27" t="n">
        <x:f>B28+Drivers!B24+Drivers!B27+Drivers!B30+B29-Drivers!B31-Drivers!B32</x:f>
        <x:v>1783368057841.9539</x:v>
      </x:c>
      <x:c r="C33" s="2" t="n"/>
      <x:c r="D33" s="2" t="n"/>
      <x:c r="E33" s="2" t="n"/>
      <x:c r="F33" s="2" t="n"/>
      <x:c r="G33" s="2" t="n"/>
      <x:c r="H33" s="2" t="n"/>
    </x:row>
    <x:row r="34">
      <x:c r="A34" s="4" t="inlineStr">
        <x:is>
          <x:t xml:space="preserve">Value per share</x:t>
        </x:is>
      </x:c>
      <x:c r="B34" s="7" t="n">
        <x:f>B33/'Share Bridge'!B11</x:f>
        <x:v>143.63972811799883</x:v>
      </x:c>
      <x:c r="C34" s="2" t="n"/>
      <x:c r="D34" s="2" t="n"/>
      <x:c r="E34" s="2" t="n"/>
      <x:c r="F34" s="2" t="n"/>
      <x:c r="G34" s="2" t="n"/>
      <x:c r="H34" s="2" t="n"/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8" customWidth="1"/>
    <x:col min="2" max="2" width="20" customWidth="1"/>
    <x:col min="3" max="3" width="20" customWidth="1"/>
    <x:col min="4" max="4" width="20" customWidth="1"/>
    <x:col min="5" max="5" width="22" customWidth="1"/>
    <x:col min="6" max="6" width="56" customWidth="1"/>
  </x:cols>
  <x:sheetData>
    <x:row r="1">
      <x:c r="A1" s="1" t="inlineStr">
        <x:is>
          <x:t xml:space="preserve">Consensus and EPS-revision monitor</x:t>
        </x:is>
      </x:c>
      <x:c r="B1" s="2" t="n"/>
      <x:c r="C1" s="2" t="n"/>
      <x:c r="D1" s="2" t="n"/>
      <x:c r="E1" s="2" t="n"/>
      <x:c r="F1" s="2" t="n"/>
    </x:row>
    <x:row r="2">
      <x:c r="A2" s="3" t="inlineStr">
        <x:is>
          <x:t xml:space="preserve">The FMP EPS feed is a frozen aggregator snapshot. The independent $14.20-$14.68 range conflicts and remains unresolved.</x:t>
        </x:is>
      </x:c>
      <x:c r="B2" s="2" t="n"/>
      <x:c r="C2" s="2" t="n"/>
      <x:c r="D2" s="2" t="n"/>
      <x:c r="E2" s="2" t="n"/>
      <x:c r="F2" s="2" t="n"/>
    </x:row>
    <x:row r="3">
      <x:c r="A3" s="2" t="n"/>
      <x:c r="B3" s="2" t="n"/>
      <x:c r="C3" s="2" t="n"/>
      <x:c r="D3" s="2" t="n"/>
      <x:c r="E3" s="2" t="n"/>
      <x:c r="F3" s="2" t="n"/>
    </x:row>
    <x:row r="4">
      <x:c r="A4" s="11" t="inlineStr">
        <x:is>
          <x:t xml:space="preserve">FY2027 bridge</x:t>
        </x:is>
      </x:c>
      <x:c r="B4" s="12" t="inlineStr">
        <x:is>
          <x:t xml:space="preserve">Value</x:t>
        </x:is>
      </x:c>
      <x:c r="C4" s="12" t="inlineStr">
        <x:is>
          <x:t xml:space="preserve">Evidence</x:t>
        </x:is>
      </x:c>
      <x:c r="D4" s="12" t="inlineStr">
        <x:is>
          <x:t xml:space="preserve">Status</x:t>
        </x:is>
      </x:c>
      <x:c r="E4" s="12" t="inlineStr">
        <x:is>
          <x:t xml:space="preserve">Formula role</x:t>
        </x:is>
      </x:c>
      <x:c r="F4" s="12" t="inlineStr">
        <x:is>
          <x:t xml:space="preserve">Comment</x:t>
        </x:is>
      </x:c>
    </x:row>
    <x:row r="5">
      <x:c r="A5" s="2" t="inlineStr">
        <x:is>
          <x:t xml:space="preserve">Street FY2027 EPS</x:t>
        </x:is>
      </x:c>
      <x:c r="B5" s="16" t="n">
        <x:v>15.00595</x:v>
      </x:c>
      <x:c r="C5" s="10" t="inlineStr">
        <x:is>
          <x:t xml:space="preserve">S5</x:t>
        </x:is>
      </x:c>
      <x:c r="D5" s="10" t="inlineStr">
        <x:is>
          <x:t xml:space="preserve">SOURCE CONFLICT</x:t>
        </x:is>
      </x:c>
      <x:c r="E5" s="10" t="inlineStr">
        <x:is>
          <x:t xml:space="preserve">Input</x:t>
        </x:is>
      </x:c>
      <x:c r="F5" s="10" t="inlineStr">
        <x:is>
          <x:t xml:space="preserve">FMP feed retrieved 2026-08-07; independent $14.20-$14.68 range unresolved</x:t>
        </x:is>
      </x:c>
    </x:row>
    <x:row r="6">
      <x:c r="A6" s="2" t="inlineStr">
        <x:is>
          <x:t xml:space="preserve">Street FY2027 implied D&amp;A</x:t>
        </x:is>
      </x:c>
      <x:c r="B6" s="14" t="n">
        <x:f>Drivers!B36-Drivers!B37</x:f>
        <x:v>28024157201</x:v>
      </x:c>
      <x:c r="C6" s="10" t="inlineStr">
        <x:is>
          <x:t xml:space="preserve">S5</x:t>
        </x:is>
      </x:c>
      <x:c r="D6" s="10" t="inlineStr">
        <x:is>
          <x:t xml:space="preserve">AGGREGATOR</x:t>
        </x:is>
      </x:c>
      <x:c r="E6" s="10" t="inlineStr">
        <x:is>
          <x:t xml:space="preserve">EBITDA - EBIT</x:t>
        </x:is>
      </x:c>
      <x:c r="F6" s="10" t="inlineStr">
        <x:is>
          <x:t xml:space="preserve">Not a broker-level D&amp;A ledger</x:t>
        </x:is>
      </x:c>
    </x:row>
    <x:row r="7">
      <x:c r="A7" s="2" t="inlineStr">
        <x:is>
          <x:t xml:space="preserve">Our FY2027 D&amp;A</x:t>
        </x:is>
      </x:c>
      <x:c r="B7" s="14" t="n">
        <x:f>Depreciation!C20</x:f>
        <x:v>55727464333.33333</x:v>
      </x:c>
      <x:c r="C7" s="10" t="inlineStr">
        <x:is>
          <x:t xml:space="preserve">A2</x:t>
        </x:is>
      </x:c>
      <x:c r="D7" s="10" t="inlineStr">
        <x:is>
          <x:t xml:space="preserve">MODEL</x:t>
        </x:is>
      </x:c>
      <x:c r="E7" s="10" t="inlineStr">
        <x:is>
          <x:t xml:space="preserve">Quarterly schedule</x:t>
        </x:is>
      </x:c>
      <x:c r="F7" s="10" t="inlineStr">
        <x:is>
          <x:t xml:space="preserve">Legacy and forecast vintages shown separately</x:t>
        </x:is>
      </x:c>
    </x:row>
    <x:row r="8">
      <x:c r="A8" s="2" t="inlineStr">
        <x:is>
          <x:t xml:space="preserve">Gross D&amp;A difference</x:t>
        </x:is>
      </x:c>
      <x:c r="B8" s="14" t="n">
        <x:f>B7-B6</x:f>
        <x:v>27703307132.33333</x:v>
      </x:c>
      <x:c r="C8" s="10" t="inlineStr">
        <x:is>
          <x:t xml:space="preserve">Formula</x:t>
        </x:is>
      </x:c>
      <x:c r="D8" s="10" t="inlineStr">
        <x:is>
          <x:t xml:space="preserve">MODEL</x:t>
        </x:is>
      </x:c>
      <x:c r="E8" s="10" t="inlineStr">
        <x:is>
          <x:t xml:space="preserve">Our D&amp;A - Street implied</x:t>
        </x:is>
      </x:c>
      <x:c r="F8" s="10" t="inlineStr">
        <x:is>
          <x:t xml:space="preserve">Before EBITDA offset</x:t>
        </x:is>
      </x:c>
    </x:row>
    <x:row r="9">
      <x:c r="A9" s="2" t="inlineStr">
        <x:is>
          <x:t xml:space="preserve">Base restated FY2027 EPS</x:t>
        </x:is>
      </x:c>
      <x:c r="B9" s="7" t="n">
        <x:f>B5-(B8*(1-Scenarios!D6))*(1-Drivers!C9)/'Share Bridge'!B11</x:f>
        <x:v>14.5513150437059</x:v>
      </x:c>
      <x:c r="C9" s="10" t="inlineStr">
        <x:is>
          <x:t xml:space="preserve">Formula</x:t>
        </x:is>
      </x:c>
      <x:c r="D9" s="10" t="inlineStr">
        <x:is>
          <x:t xml:space="preserve">ILLUSTRATIVE</x:t>
        </x:is>
      </x:c>
      <x:c r="E9" s="10" t="inlineStr">
        <x:is>
          <x:t xml:space="preserve">After base EBITDA offset</x:t>
        </x:is>
      </x:c>
      <x:c r="F9" s="10" t="inlineStr">
        <x:is>
          <x:t xml:space="preserve">Not a forecast until quarterly consensus is sourced</x:t>
        </x:is>
      </x:c>
    </x:row>
    <x:row r="10">
      <x:c r="A10" s="2" t="n"/>
      <x:c r="B10" s="2" t="n"/>
      <x:c r="C10" s="2" t="n"/>
      <x:c r="D10" s="2" t="n"/>
      <x:c r="E10" s="2" t="n"/>
      <x:c r="F10" s="2" t="n"/>
    </x:row>
    <x:row r="11">
      <x:c r="A11" s="2" t="n"/>
      <x:c r="B11" s="2" t="n"/>
      <x:c r="C11" s="2" t="n"/>
      <x:c r="D11" s="2" t="n"/>
      <x:c r="E11" s="2" t="n"/>
      <x:c r="F11" s="2" t="n"/>
    </x:row>
    <x:row r="12">
      <x:c r="A12" s="1" t="inlineStr">
        <x:is>
          <x:t xml:space="preserve">Quarterly catalyst bridge</x:t>
        </x:is>
      </x:c>
      <x:c r="B12" s="2" t="n"/>
      <x:c r="C12" s="2" t="n"/>
      <x:c r="D12" s="2" t="n"/>
      <x:c r="E12" s="2" t="n"/>
      <x:c r="F12" s="2" t="n"/>
    </x:row>
    <x:row r="13">
      <x:c r="A13" s="11" t="inlineStr">
        <x:is>
          <x:t xml:space="preserve">Print</x:t>
        </x:is>
      </x:c>
      <x:c r="B13" s="12" t="inlineStr">
        <x:is>
          <x:t xml:space="preserve">Model D&amp;A</x:t>
        </x:is>
      </x:c>
      <x:c r="C13" s="12" t="inlineStr">
        <x:is>
          <x:t xml:space="preserve">Frozen consensus D&amp;A</x:t>
        </x:is>
      </x:c>
      <x:c r="D13" s="12" t="inlineStr">
        <x:is>
          <x:t xml:space="preserve">Actual D&amp;A</x:t>
        </x:is>
      </x:c>
      <x:c r="E13" s="12" t="inlineStr">
        <x:is>
          <x:t xml:space="preserve">EBITDA offset</x:t>
        </x:is>
      </x:c>
      <x:c r="F13" s="12" t="inlineStr">
        <x:is>
          <x:t xml:space="preserve">Result</x:t>
        </x:is>
      </x:c>
    </x:row>
    <x:row r="14">
      <x:c r="A14" s="2" t="inlineStr">
        <x:is>
          <x:t xml:space="preserve">Q3 2026</x:t>
        </x:is>
      </x:c>
      <x:c r="B14" s="14" t="n">
        <x:f>Depreciation!B17</x:f>
        <x:v>7471000000</x:v>
      </x:c>
      <x:c r="C14" s="2" t="inlineStr">
        <x:is>
          <x:t xml:space="preserve">MISSING</x:t>
        </x:is>
      </x:c>
      <x:c r="D14" s="2" t="inlineStr">
        <x:is>
          <x:t xml:space="preserve">PENDING</x:t>
        </x:is>
      </x:c>
      <x:c r="E14" s="2" t="inlineStr">
        <x:is>
          <x:t xml:space="preserve">PENDING</x:t>
        </x:is>
      </x:c>
      <x:c r="F14" s="2" t="inlineStr">
        <x:is>
          <x:t xml:space="preserve">PENDING</x:t>
        </x:is>
      </x:c>
    </x:row>
    <x:row r="15">
      <x:c r="A15" s="2" t="inlineStr">
        <x:is>
          <x:t xml:space="preserve">Q4 2026</x:t>
        </x:is>
      </x:c>
      <x:c r="B15" s="14" t="n">
        <x:f>Depreciation!C17</x:f>
        <x:v>8963525000</x:v>
      </x:c>
      <x:c r="C15" s="2" t="inlineStr">
        <x:is>
          <x:t xml:space="preserve">MISSING</x:t>
        </x:is>
      </x:c>
      <x:c r="D15" s="2" t="inlineStr">
        <x:is>
          <x:t xml:space="preserve">PENDING</x:t>
        </x:is>
      </x:c>
      <x:c r="E15" s="2" t="inlineStr">
        <x:is>
          <x:t xml:space="preserve">PENDING</x:t>
        </x:is>
      </x:c>
      <x:c r="F15" s="2" t="inlineStr">
        <x:is>
          <x:t xml:space="preserve">PENDING</x:t>
        </x:is>
      </x:c>
    </x:row>
    <x:row r="16">
      <x:c r="A16" s="2" t="inlineStr">
        <x:is>
          <x:t xml:space="preserve">Q1 2027</x:t>
        </x:is>
      </x:c>
      <x:c r="B16" s="14" t="n">
        <x:f>Depreciation!D17</x:f>
        <x:v>10953558333.333334</x:v>
      </x:c>
      <x:c r="C16" s="2" t="inlineStr">
        <x:is>
          <x:t xml:space="preserve">MISSING</x:t>
        </x:is>
      </x:c>
      <x:c r="D16" s="2" t="inlineStr">
        <x:is>
          <x:t xml:space="preserve">PENDING</x:t>
        </x:is>
      </x:c>
      <x:c r="E16" s="2" t="inlineStr">
        <x:is>
          <x:t xml:space="preserve">PENDING</x:t>
        </x:is>
      </x:c>
      <x:c r="F16" s="2" t="inlineStr">
        <x:is>
          <x:t xml:space="preserve">PENDING</x:t>
        </x:is>
      </x:c>
    </x:row>
    <x:row r="17">
      <x:c r="A17" s="2" t="n"/>
      <x:c r="B17" s="2" t="n"/>
      <x:c r="C17" s="2" t="n"/>
      <x:c r="D17" s="2" t="n"/>
      <x:c r="E17" s="2" t="n"/>
      <x:c r="F17" s="2" t="n"/>
    </x:row>
    <x:row r="18">
      <x:c r="A18" s="10" t="inlineStr">
        <x:is>
          <x:t xml:space="preserve">Required pre-print fields: quarterly EBITDA, EBIT, implied D&amp;A, tax, below-line income, diluted shares, EPS, and 30/60/90-day revision history.</x:t>
        </x:is>
      </x:c>
      <x:c r="B18" s="2" t="n"/>
      <x:c r="C18" s="2" t="n"/>
      <x:c r="D18" s="2" t="n"/>
      <x:c r="E18" s="2" t="n"/>
      <x:c r="F18" s="2" t="n"/>
    </x:row>
    <x:row r="19">
      <x:c r="A19" s="2" t="n"/>
      <x:c r="B19" s="2" t="n"/>
      <x:c r="C19" s="2" t="n"/>
      <x:c r="D19" s="2" t="n"/>
      <x:c r="E19" s="2" t="n"/>
      <x:c r="F19" s="2" t="n"/>
    </x:row>
  </x:sheetData>
  <x:mergeCells>
    <x:mergeCell ref="A18:F19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24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</x:cols>
  <x:sheetData>
    <x:row r="1">
      <x:c r="A1" s="1" t="inlineStr">
        <x:is>
          <x:t xml:space="preserve">DCF sensitivity — WACC × terminal growth</x:t>
        </x:is>
      </x:c>
      <x:c r="B1" s="2" t="n"/>
      <x:c r="C1" s="2" t="n"/>
      <x:c r="D1" s="2" t="n"/>
      <x:c r="E1" s="2" t="n"/>
      <x:c r="F1" s="2" t="n"/>
      <x:c r="G1" s="2" t="n"/>
      <x:c r="H1" s="2" t="n"/>
    </x:row>
    <x:row r="2">
      <x:c r="A2" s="3" t="inlineStr">
        <x:is>
          <x:t xml:space="preserve">Appendix risk frame. Center cell uses the base WACC and 3.0% terminal growth.</x:t>
        </x:is>
      </x:c>
      <x:c r="B2" s="2" t="n"/>
      <x:c r="C2" s="2" t="n"/>
      <x:c r="D2" s="2" t="n"/>
      <x:c r="E2" s="2" t="n"/>
      <x:c r="F2" s="2" t="n"/>
      <x:c r="G2" s="2" t="n"/>
      <x:c r="H2" s="2" t="n"/>
    </x:row>
    <x:row r="3">
      <x:c r="A3" s="2" t="n"/>
      <x:c r="B3" s="2" t="n"/>
      <x:c r="C3" s="2" t="n"/>
      <x:c r="D3" s="2" t="n"/>
      <x:c r="E3" s="2" t="n"/>
      <x:c r="F3" s="2" t="n"/>
      <x:c r="G3" s="2" t="n"/>
      <x:c r="H3" s="2" t="n"/>
    </x:row>
    <x:row r="4">
      <x:c r="A4" s="2" t="inlineStr">
        <x:is>
          <x:t xml:space="preserve">WACC / g</x:t>
        </x:is>
      </x:c>
      <x:c r="B4" s="15" t="n">
        <x:v>0.02</x:v>
      </x:c>
      <x:c r="C4" s="15" t="n">
        <x:v>0.025</x:v>
      </x:c>
      <x:c r="D4" s="15" t="n">
        <x:v>0.03</x:v>
      </x:c>
      <x:c r="E4" s="15" t="n">
        <x:v>0.035</x:v>
      </x:c>
      <x:c r="F4" s="15" t="n">
        <x:v>0.04</x:v>
      </x:c>
      <x:c r="G4" s="15" t="n">
        <x:v>0.045</x:v>
      </x:c>
      <x:c r="H4" s="15" t="n">
        <x:v>0.05</x:v>
      </x:c>
    </x:row>
    <x:row r="5">
      <x:c r="A5" s="15" t="n">
        <x:v>0.07313373967017409</x:v>
      </x:c>
      <x:c r="B5" s="31" t="n">
        <x:f>(Valuation!B13/(1+$A5)^Valuation!B14+Valuation!C13/(1+$A5)^Valuation!C14+Valuation!D13/(1+$A5)^Valuation!D14+Valuation!E13/(1+$A5)^Valuation!E14+Valuation!F13/(1+$A5)^Valuation!F14+Valuation!G13/(1+$A5)^Valuation!G14+((Valuation!G10*(1+B$4)*(1-B$4/Drivers!$B$22))/($A5-B$4))/(1+$A5)^Valuation!$B$26+Drivers!$B$24+Drivers!$B$27+Drivers!$B$30+Valuation!$B$29-Drivers!$B$31-Drivers!$B$32)/'Share Bridge'!$B$11</x:f>
        <x:v>173.41060146176665</x:v>
      </x:c>
      <x:c r="C5" s="31" t="n">
        <x:f>(Valuation!B13/(1+$A5)^Valuation!B14+Valuation!C13/(1+$A5)^Valuation!C14+Valuation!D13/(1+$A5)^Valuation!D14+Valuation!E13/(1+$A5)^Valuation!E14+Valuation!F13/(1+$A5)^Valuation!F14+Valuation!G13/(1+$A5)^Valuation!G14+((Valuation!G10*(1+C$4)*(1-C$4/Drivers!$B$22))/($A5-C$4))/(1+$A5)^Valuation!$B$26+Drivers!$B$24+Drivers!$B$27+Drivers!$B$30+Valuation!$B$29-Drivers!$B$31-Drivers!$B$32)/'Share Bridge'!$B$11</x:f>
        <x:v>184.27754787415478</x:v>
      </x:c>
      <x:c r="D5" s="31" t="n">
        <x:f>(Valuation!B13/(1+$A5)^Valuation!B14+Valuation!C13/(1+$A5)^Valuation!C14+Valuation!D13/(1+$A5)^Valuation!D14+Valuation!E13/(1+$A5)^Valuation!E14+Valuation!F13/(1+$A5)^Valuation!F14+Valuation!G13/(1+$A5)^Valuation!G14+((Valuation!G10*(1+D$4)*(1-D$4/Drivers!$B$22))/($A5-D$4))/(1+$A5)^Valuation!$B$26+Drivers!$B$24+Drivers!$B$27+Drivers!$B$30+Valuation!$B$29-Drivers!$B$31-Drivers!$B$32)/'Share Bridge'!$B$11</x:f>
        <x:v>197.60889656153265</x:v>
      </x:c>
      <x:c r="E5" s="31" t="n">
        <x:f>(Valuation!B13/(1+$A5)^Valuation!B14+Valuation!C13/(1+$A5)^Valuation!C14+Valuation!D13/(1+$A5)^Valuation!D14+Valuation!E13/(1+$A5)^Valuation!E14+Valuation!F13/(1+$A5)^Valuation!F14+Valuation!G13/(1+$A5)^Valuation!G14+((Valuation!G10*(1+E$4)*(1-E$4/Drivers!$B$22))/($A5-E$4))/(1+$A5)^Valuation!$B$26+Drivers!$B$24+Drivers!$B$27+Drivers!$B$30+Valuation!$B$29-Drivers!$B$31-Drivers!$B$32)/'Share Bridge'!$B$11</x:f>
        <x:v>214.37402620127548</x:v>
      </x:c>
      <x:c r="F5" s="31" t="n">
        <x:f>(Valuation!B13/(1+$A5)^Valuation!B14+Valuation!C13/(1+$A5)^Valuation!C14+Valuation!D13/(1+$A5)^Valuation!D14+Valuation!E13/(1+$A5)^Valuation!E14+Valuation!F13/(1+$A5)^Valuation!F14+Valuation!G13/(1+$A5)^Valuation!G14+((Valuation!G10*(1+F$4)*(1-F$4/Drivers!$B$22))/($A5-F$4))/(1+$A5)^Valuation!$B$26+Drivers!$B$24+Drivers!$B$27+Drivers!$B$30+Valuation!$B$29-Drivers!$B$31-Drivers!$B$32)/'Share Bridge'!$B$11</x:f>
        <x:v>236.12744632952953</x:v>
      </x:c>
      <x:c r="G5" s="31" t="n">
        <x:f>(Valuation!B13/(1+$A5)^Valuation!B14+Valuation!C13/(1+$A5)^Valuation!C14+Valuation!D13/(1+$A5)^Valuation!D14+Valuation!E13/(1+$A5)^Valuation!E14+Valuation!F13/(1+$A5)^Valuation!F14+Valuation!G13/(1+$A5)^Valuation!G14+((Valuation!G10*(1+G$4)*(1-G$4/Drivers!$B$22))/($A5-G$4))/(1+$A5)^Valuation!$B$26+Drivers!$B$24+Drivers!$B$27+Drivers!$B$30+Valuation!$B$29-Drivers!$B$31-Drivers!$B$32)/'Share Bridge'!$B$11</x:f>
        <x:v>265.5287520873913</x:v>
      </x:c>
      <x:c r="H5" s="31" t="n">
        <x:f>(Valuation!B13/(1+$A5)^Valuation!B14+Valuation!C13/(1+$A5)^Valuation!C14+Valuation!D13/(1+$A5)^Valuation!D14+Valuation!E13/(1+$A5)^Valuation!E14+Valuation!F13/(1+$A5)^Valuation!F14+Valuation!G13/(1+$A5)^Valuation!G14+((Valuation!G10*(1+H$4)*(1-H$4/Drivers!$B$22))/($A5-H$4))/(1+$A5)^Valuation!$B$26+Drivers!$B$24+Drivers!$B$27+Drivers!$B$30+Valuation!$B$29-Drivers!$B$31-Drivers!$B$32)/'Share Bridge'!$B$11</x:f>
        <x:v>307.53686002184804</x:v>
      </x:c>
    </x:row>
    <x:row r="6">
      <x:c r="A6" s="15" t="n">
        <x:v>0.07813373967017409</x:v>
      </x:c>
      <x:c r="B6" s="31" t="n">
        <x:f>(Valuation!B13/(1+$A6)^Valuation!B14+Valuation!C13/(1+$A6)^Valuation!C14+Valuation!D13/(1+$A6)^Valuation!D14+Valuation!E13/(1+$A6)^Valuation!E14+Valuation!F13/(1+$A6)^Valuation!F14+Valuation!G13/(1+$A6)^Valuation!G14+((Valuation!G10*(1+B$4)*(1-B$4/Drivers!$B$22))/($A6-B$4))/(1+$A6)^Valuation!$B$26+Drivers!$B$24+Drivers!$B$27+Drivers!$B$30+Valuation!$B$29-Drivers!$B$31-Drivers!$B$32)/'Share Bridge'!$B$11</x:f>
        <x:v>157.22708300537198</x:v>
      </x:c>
      <x:c r="C6" s="31" t="n">
        <x:f>(Valuation!B13/(1+$A6)^Valuation!B14+Valuation!C13/(1+$A6)^Valuation!C14+Valuation!D13/(1+$A6)^Valuation!D14+Valuation!E13/(1+$A6)^Valuation!E14+Valuation!F13/(1+$A6)^Valuation!F14+Valuation!G13/(1+$A6)^Valuation!G14+((Valuation!G10*(1+C$4)*(1-C$4/Drivers!$B$22))/($A6-C$4))/(1+$A6)^Valuation!$B$26+Drivers!$B$24+Drivers!$B$27+Drivers!$B$30+Valuation!$B$29-Drivers!$B$31-Drivers!$B$32)/'Share Bridge'!$B$11</x:f>
        <x:v>165.67798657829348</x:v>
      </x:c>
      <x:c r="D6" s="31" t="n">
        <x:f>(Valuation!B13/(1+$A6)^Valuation!B14+Valuation!C13/(1+$A6)^Valuation!C14+Valuation!D13/(1+$A6)^Valuation!D14+Valuation!E13/(1+$A6)^Valuation!E14+Valuation!F13/(1+$A6)^Valuation!F14+Valuation!G13/(1+$A6)^Valuation!G14+((Valuation!G10*(1+D$4)*(1-D$4/Drivers!$B$22))/($A6-D$4))/(1+$A6)^Valuation!$B$26+Drivers!$B$24+Drivers!$B$27+Drivers!$B$30+Valuation!$B$29-Drivers!$B$31-Drivers!$B$32)/'Share Bridge'!$B$11</x:f>
        <x:v>175.83657425888143</x:v>
      </x:c>
      <x:c r="E6" s="31" t="n">
        <x:f>(Valuation!B13/(1+$A6)^Valuation!B14+Valuation!C13/(1+$A6)^Valuation!C14+Valuation!D13/(1+$A6)^Valuation!D14+Valuation!E13/(1+$A6)^Valuation!E14+Valuation!F13/(1+$A6)^Valuation!F14+Valuation!G13/(1+$A6)^Valuation!G14+((Valuation!G10*(1+E$4)*(1-E$4/Drivers!$B$22))/($A6-E$4))/(1+$A6)^Valuation!$B$26+Drivers!$B$24+Drivers!$B$27+Drivers!$B$30+Valuation!$B$29-Drivers!$B$31-Drivers!$B$32)/'Share Bridge'!$B$11</x:f>
        <x:v>188.29670277764103</x:v>
      </x:c>
      <x:c r="F6" s="31" t="n">
        <x:f>(Valuation!B13/(1+$A6)^Valuation!B14+Valuation!C13/(1+$A6)^Valuation!C14+Valuation!D13/(1+$A6)^Valuation!D14+Valuation!E13/(1+$A6)^Valuation!E14+Valuation!F13/(1+$A6)^Valuation!F14+Valuation!G13/(1+$A6)^Valuation!G14+((Valuation!G10*(1+F$4)*(1-F$4/Drivers!$B$22))/($A6-F$4))/(1+$A6)^Valuation!$B$26+Drivers!$B$24+Drivers!$B$27+Drivers!$B$30+Valuation!$B$29-Drivers!$B$31-Drivers!$B$32)/'Share Bridge'!$B$11</x:f>
        <x:v>203.96368886645266</x:v>
      </x:c>
      <x:c r="G6" s="31" t="n">
        <x:f>(Valuation!B13/(1+$A6)^Valuation!B14+Valuation!C13/(1+$A6)^Valuation!C14+Valuation!D13/(1+$A6)^Valuation!D14+Valuation!E13/(1+$A6)^Valuation!E14+Valuation!F13/(1+$A6)^Valuation!F14+Valuation!G13/(1+$A6)^Valuation!G14+((Valuation!G10*(1+G$4)*(1-G$4/Drivers!$B$22))/($A6-G$4))/(1+$A6)^Valuation!$B$26+Drivers!$B$24+Drivers!$B$27+Drivers!$B$30+Valuation!$B$29-Drivers!$B$31-Drivers!$B$32)/'Share Bridge'!$B$11</x:f>
        <x:v>224.28931140779716</x:v>
      </x:c>
      <x:c r="H6" s="31" t="n">
        <x:f>(Valuation!B13/(1+$A6)^Valuation!B14+Valuation!C13/(1+$A6)^Valuation!C14+Valuation!D13/(1+$A6)^Valuation!D14+Valuation!E13/(1+$A6)^Valuation!E14+Valuation!F13/(1+$A6)^Valuation!F14+Valuation!G13/(1+$A6)^Valuation!G14+((Valuation!G10*(1+H$4)*(1-H$4/Drivers!$B$22))/($A6-H$4))/(1+$A6)^Valuation!$B$26+Drivers!$B$24+Drivers!$B$27+Drivers!$B$30+Valuation!$B$29-Drivers!$B$31-Drivers!$B$32)/'Share Bridge'!$B$11</x:f>
        <x:v>251.75740467352148</x:v>
      </x:c>
    </x:row>
    <x:row r="7">
      <x:c r="A7" s="15" t="n">
        <x:v>0.08313373967017408</x:v>
      </x:c>
      <x:c r="B7" s="31" t="n">
        <x:f>(Valuation!B13/(1+$A7)^Valuation!B14+Valuation!C13/(1+$A7)^Valuation!C14+Valuation!D13/(1+$A7)^Valuation!D14+Valuation!E13/(1+$A7)^Valuation!E14+Valuation!F13/(1+$A7)^Valuation!F14+Valuation!G13/(1+$A7)^Valuation!G14+((Valuation!G10*(1+B$4)*(1-B$4/Drivers!$B$22))/($A7-B$4))/(1+$A7)^Valuation!$B$26+Drivers!$B$24+Drivers!$B$27+Drivers!$B$30+Valuation!$B$29-Drivers!$B$31-Drivers!$B$32)/'Share Bridge'!$B$11</x:f>
        <x:v>143.64782937549663</x:v>
      </x:c>
      <x:c r="C7" s="31" t="n">
        <x:f>(Valuation!B13/(1+$A7)^Valuation!B14+Valuation!C13/(1+$A7)^Valuation!C14+Valuation!D13/(1+$A7)^Valuation!D14+Valuation!E13/(1+$A7)^Valuation!E14+Valuation!F13/(1+$A7)^Valuation!F14+Valuation!G13/(1+$A7)^Valuation!G14+((Valuation!G10*(1+C$4)*(1-C$4/Drivers!$B$22))/($A7-C$4))/(1+$A7)^Valuation!$B$26+Drivers!$B$24+Drivers!$B$27+Drivers!$B$30+Valuation!$B$29-Drivers!$B$31-Drivers!$B$32)/'Share Bridge'!$B$11</x:f>
        <x:v>150.31895455582125</x:v>
      </x:c>
      <x:c r="D7" s="31" t="n">
        <x:f>(Valuation!B13/(1+$A7)^Valuation!B14+Valuation!C13/(1+$A7)^Valuation!C14+Valuation!D13/(1+$A7)^Valuation!D14+Valuation!E13/(1+$A7)^Valuation!E14+Valuation!F13/(1+$A7)^Valuation!F14+Valuation!G13/(1+$A7)^Valuation!G14+((Valuation!G10*(1+D$4)*(1-D$4/Drivers!$B$22))/($A7-D$4))/(1+$A7)^Valuation!$B$26+Drivers!$B$24+Drivers!$B$27+Drivers!$B$30+Valuation!$B$29-Drivers!$B$31-Drivers!$B$32)/'Share Bridge'!$B$11</x:f>
        <x:v>158.20317869495966</x:v>
      </x:c>
      <x:c r="E7" s="31" t="n">
        <x:f>(Valuation!B13/(1+$A7)^Valuation!B14+Valuation!C13/(1+$A7)^Valuation!C14+Valuation!D13/(1+$A7)^Valuation!D14+Valuation!E13/(1+$A7)^Valuation!E14+Valuation!F13/(1+$A7)^Valuation!F14+Valuation!G13/(1+$A7)^Valuation!G14+((Valuation!G10*(1+E$4)*(1-E$4/Drivers!$B$22))/($A7-E$4))/(1+$A7)^Valuation!$B$26+Drivers!$B$24+Drivers!$B$27+Drivers!$B$30+Valuation!$B$29-Drivers!$B$31-Drivers!$B$32)/'Share Bridge'!$B$11</x:f>
        <x:v>167.6785419058741</x:v>
      </x:c>
      <x:c r="F7" s="31" t="n">
        <x:f>(Valuation!B13/(1+$A7)^Valuation!B14+Valuation!C13/(1+$A7)^Valuation!C14+Valuation!D13/(1+$A7)^Valuation!D14+Valuation!E13/(1+$A7)^Valuation!E14+Valuation!F13/(1+$A7)^Valuation!F14+Valuation!G13/(1+$A7)^Valuation!G14+((Valuation!G10*(1+F$4)*(1-F$4/Drivers!$B$22))/($A7-F$4))/(1+$A7)^Valuation!$B$26+Drivers!$B$24+Drivers!$B$27+Drivers!$B$30+Valuation!$B$29-Drivers!$B$31-Drivers!$B$32)/'Share Bridge'!$B$11</x:f>
        <x:v>179.29837172888784</x:v>
      </x:c>
      <x:c r="G7" s="31" t="n">
        <x:f>(Valuation!B13/(1+$A7)^Valuation!B14+Valuation!C13/(1+$A7)^Valuation!C14+Valuation!D13/(1+$A7)^Valuation!D14+Valuation!E13/(1+$A7)^Valuation!E14+Valuation!F13/(1+$A7)^Valuation!F14+Valuation!G13/(1+$A7)^Valuation!G14+((Valuation!G10*(1+G$4)*(1-G$4/Drivers!$B$22))/($A7-G$4))/(1+$A7)^Valuation!$B$26+Drivers!$B$24+Drivers!$B$27+Drivers!$B$30+Valuation!$B$29-Drivers!$B$31-Drivers!$B$32)/'Share Bridge'!$B$11</x:f>
        <x:v>193.90619936392264</x:v>
      </x:c>
      <x:c r="H7" s="31" t="n">
        <x:f>(Valuation!B13/(1+$A7)^Valuation!B14+Valuation!C13/(1+$A7)^Valuation!C14+Valuation!D13/(1+$A7)^Valuation!D14+Valuation!E13/(1+$A7)^Valuation!E14+Valuation!F13/(1+$A7)^Valuation!F14+Valuation!G13/(1+$A7)^Valuation!G14+((Valuation!G10*(1+H$4)*(1-H$4/Drivers!$B$22))/($A7-H$4))/(1+$A7)^Valuation!$B$26+Drivers!$B$24+Drivers!$B$27+Drivers!$B$30+Valuation!$B$29-Drivers!$B$31-Drivers!$B$32)/'Share Bridge'!$B$11</x:f>
        <x:v>212.85472352915744</x:v>
      </x:c>
    </x:row>
    <x:row r="8">
      <x:c r="A8" s="15" t="n">
        <x:v>0.08813373967017409</x:v>
      </x:c>
      <x:c r="B8" s="31" t="n">
        <x:f>(Valuation!B13/(1+$A8)^Valuation!B14+Valuation!C13/(1+$A8)^Valuation!C14+Valuation!D13/(1+$A8)^Valuation!D14+Valuation!E13/(1+$A8)^Valuation!E14+Valuation!F13/(1+$A8)^Valuation!F14+Valuation!G13/(1+$A8)^Valuation!G14+((Valuation!G10*(1+B$4)*(1-B$4/Drivers!$B$22))/($A8-B$4))/(1+$A8)^Valuation!$B$26+Drivers!$B$24+Drivers!$B$27+Drivers!$B$30+Valuation!$B$29-Drivers!$B$31-Drivers!$B$32)/'Share Bridge'!$B$11</x:f>
        <x:v>132.0984310889235</x:v>
      </x:c>
      <x:c r="C8" s="31" t="n">
        <x:f>(Valuation!B13/(1+$A8)^Valuation!B14+Valuation!C13/(1+$A8)^Valuation!C14+Valuation!D13/(1+$A8)^Valuation!D14+Valuation!E13/(1+$A8)^Valuation!E14+Valuation!F13/(1+$A8)^Valuation!F14+Valuation!G13/(1+$A8)^Valuation!G14+((Valuation!G10*(1+C$4)*(1-C$4/Drivers!$B$22))/($A8-C$4))/(1+$A8)^Valuation!$B$26+Drivers!$B$24+Drivers!$B$27+Drivers!$B$30+Valuation!$B$29-Drivers!$B$31-Drivers!$B$32)/'Share Bridge'!$B$11</x:f>
        <x:v>137.42948024586454</x:v>
      </x:c>
      <x:c r="D8" s="31" t="n">
        <x:f>(Valuation!B13/(1+$A8)^Valuation!B14+Valuation!C13/(1+$A8)^Valuation!C14+Valuation!D13/(1+$A8)^Valuation!D14+Valuation!E13/(1+$A8)^Valuation!E14+Valuation!F13/(1+$A8)^Valuation!F14+Valuation!G13/(1+$A8)^Valuation!G14+((Valuation!G10*(1+D$4)*(1-D$4/Drivers!$B$22))/($A8-D$4))/(1+$A8)^Valuation!$B$26+Drivers!$B$24+Drivers!$B$27+Drivers!$B$30+Valuation!$B$29-Drivers!$B$31-Drivers!$B$32)/'Share Bridge'!$B$11</x:f>
        <x:v>143.63972811799883</x:v>
      </x:c>
      <x:c r="E8" s="31" t="n">
        <x:f>(Valuation!B13/(1+$A8)^Valuation!B14+Valuation!C13/(1+$A8)^Valuation!C14+Valuation!D13/(1+$A8)^Valuation!D14+Valuation!E13/(1+$A8)^Valuation!E14+Valuation!F13/(1+$A8)^Valuation!F14+Valuation!G13/(1+$A8)^Valuation!G14+((Valuation!G10*(1+E$4)*(1-E$4/Drivers!$B$22))/($A8-E$4))/(1+$A8)^Valuation!$B$26+Drivers!$B$24+Drivers!$B$27+Drivers!$B$30+Valuation!$B$29-Drivers!$B$31-Drivers!$B$32)/'Share Bridge'!$B$11</x:f>
        <x:v>150.97737821612304</x:v>
      </x:c>
      <x:c r="F8" s="31" t="n">
        <x:f>(Valuation!B13/(1+$A8)^Valuation!B14+Valuation!C13/(1+$A8)^Valuation!C14+Valuation!D13/(1+$A8)^Valuation!D14+Valuation!E13/(1+$A8)^Valuation!E14+Valuation!F13/(1+$A8)^Valuation!F14+Valuation!G13/(1+$A8)^Valuation!G14+((Valuation!G10*(1+F$4)*(1-F$4/Drivers!$B$22))/($A8-F$4))/(1+$A8)^Valuation!$B$26+Drivers!$B$24+Drivers!$B$27+Drivers!$B$30+Valuation!$B$29-Drivers!$B$31-Drivers!$B$32)/'Share Bridge'!$B$11</x:f>
        <x:v>159.7937648330998</x:v>
      </x:c>
      <x:c r="G8" s="31" t="n">
        <x:f>(Valuation!B13/(1+$A8)^Valuation!B14+Valuation!C13/(1+$A8)^Valuation!C14+Valuation!D13/(1+$A8)^Valuation!D14+Valuation!E13/(1+$A8)^Valuation!E14+Valuation!F13/(1+$A8)^Valuation!F14+Valuation!G13/(1+$A8)^Valuation!G14+((Valuation!G10*(1+G$4)*(1-G$4/Drivers!$B$22))/($A8-G$4))/(1+$A8)^Valuation!$B$26+Drivers!$B$24+Drivers!$B$27+Drivers!$B$30+Valuation!$B$29-Drivers!$B$31-Drivers!$B$32)/'Share Bridge'!$B$11</x:f>
        <x:v>170.603126890766</x:v>
      </x:c>
      <x:c r="H8" s="31" t="n">
        <x:f>(Valuation!B13/(1+$A8)^Valuation!B14+Valuation!C13/(1+$A8)^Valuation!C14+Valuation!D13/(1+$A8)^Valuation!D14+Valuation!E13/(1+$A8)^Valuation!E14+Valuation!F13/(1+$A8)^Valuation!F14+Valuation!G13/(1+$A8)^Valuation!G14+((Valuation!G10*(1+H$4)*(1-H$4/Drivers!$B$22))/($A8-H$4))/(1+$A8)^Valuation!$B$26+Drivers!$B$24+Drivers!$B$27+Drivers!$B$30+Valuation!$B$29-Drivers!$B$31-Drivers!$B$32)/'Share Bridge'!$B$11</x:f>
        <x:v>184.18940616532583</x:v>
      </x:c>
    </x:row>
    <x:row r="9">
      <x:c r="A9" s="15" t="n">
        <x:v>0.09313373967017409</x:v>
      </x:c>
      <x:c r="B9" s="31" t="n">
        <x:f>(Valuation!B13/(1+$A9)^Valuation!B14+Valuation!C13/(1+$A9)^Valuation!C14+Valuation!D13/(1+$A9)^Valuation!D14+Valuation!E13/(1+$A9)^Valuation!E14+Valuation!F13/(1+$A9)^Valuation!F14+Valuation!G13/(1+$A9)^Valuation!G14+((Valuation!G10*(1+B$4)*(1-B$4/Drivers!$B$22))/($A9-B$4))/(1+$A9)^Valuation!$B$26+Drivers!$B$24+Drivers!$B$27+Drivers!$B$30+Valuation!$B$29-Drivers!$B$31-Drivers!$B$32)/'Share Bridge'!$B$11</x:f>
        <x:v>122.16159873216452</x:v>
      </x:c>
      <x:c r="C9" s="31" t="n">
        <x:f>(Valuation!B13/(1+$A9)^Valuation!B14+Valuation!C13/(1+$A9)^Valuation!C14+Valuation!D13/(1+$A9)^Valuation!D14+Valuation!E13/(1+$A9)^Valuation!E14+Valuation!F13/(1+$A9)^Valuation!F14+Valuation!G13/(1+$A9)^Valuation!G14+((Valuation!G10*(1+C$4)*(1-C$4/Drivers!$B$22))/($A9-C$4))/(1+$A9)^Valuation!$B$26+Drivers!$B$24+Drivers!$B$27+Drivers!$B$30+Valuation!$B$29-Drivers!$B$31-Drivers!$B$32)/'Share Bridge'!$B$11</x:f>
        <x:v>126.46493787509412</x:v>
      </x:c>
      <x:c r="D9" s="31" t="n">
        <x:f>(Valuation!B13/(1+$A9)^Valuation!B14+Valuation!C13/(1+$A9)^Valuation!C14+Valuation!D13/(1+$A9)^Valuation!D14+Valuation!E13/(1+$A9)^Valuation!E14+Valuation!F13/(1+$A9)^Valuation!F14+Valuation!G13/(1+$A9)^Valuation!G14+((Valuation!G10*(1+D$4)*(1-D$4/Drivers!$B$22))/($A9-D$4))/(1+$A9)^Valuation!$B$26+Drivers!$B$24+Drivers!$B$27+Drivers!$B$30+Valuation!$B$29-Drivers!$B$31-Drivers!$B$32)/'Share Bridge'!$B$11</x:f>
        <x:v>131.4159147060113</x:v>
      </x:c>
      <x:c r="E9" s="31" t="n">
        <x:f>(Valuation!B13/(1+$A9)^Valuation!B14+Valuation!C13/(1+$A9)^Valuation!C14+Valuation!D13/(1+$A9)^Valuation!D14+Valuation!E13/(1+$A9)^Valuation!E14+Valuation!F13/(1+$A9)^Valuation!F14+Valuation!G13/(1+$A9)^Valuation!G14+((Valuation!G10*(1+E$4)*(1-E$4/Drivers!$B$22))/($A9-E$4))/(1+$A9)^Valuation!$B$26+Drivers!$B$24+Drivers!$B$27+Drivers!$B$30+Valuation!$B$29-Drivers!$B$31-Drivers!$B$32)/'Share Bridge'!$B$11</x:f>
        <x:v>137.18163640527175</x:v>
      </x:c>
      <x:c r="F9" s="31" t="n">
        <x:f>(Valuation!B13/(1+$A9)^Valuation!B14+Valuation!C13/(1+$A9)^Valuation!C14+Valuation!D13/(1+$A9)^Valuation!D14+Valuation!E13/(1+$A9)^Valuation!E14+Valuation!F13/(1+$A9)^Valuation!F14+Valuation!G13/(1+$A9)^Valuation!G14+((Valuation!G10*(1+F$4)*(1-F$4/Drivers!$B$22))/($A9-F$4))/(1+$A9)^Valuation!$B$26+Drivers!$B$24+Drivers!$B$27+Drivers!$B$30+Valuation!$B$29-Drivers!$B$31-Drivers!$B$32)/'Share Bridge'!$B$11</x:f>
        <x:v>143.99211074385133</x:v>
      </x:c>
      <x:c r="G9" s="31" t="n">
        <x:f>(Valuation!B13/(1+$A9)^Valuation!B14+Valuation!C13/(1+$A9)^Valuation!C14+Valuation!D13/(1+$A9)^Valuation!D14+Valuation!E13/(1+$A9)^Valuation!E14+Valuation!F13/(1+$A9)^Valuation!F14+Valuation!G13/(1+$A9)^Valuation!G14+((Valuation!G10*(1+G$4)*(1-G$4/Drivers!$B$22))/($A9-G$4))/(1+$A9)^Valuation!$B$26+Drivers!$B$24+Drivers!$B$27+Drivers!$B$30+Valuation!$B$29-Drivers!$B$31-Drivers!$B$32)/'Share Bridge'!$B$11</x:f>
        <x:v>152.1729157819043</x:v>
      </x:c>
      <x:c r="H9" s="31" t="n">
        <x:f>(Valuation!B13/(1+$A9)^Valuation!B14+Valuation!C13/(1+$A9)^Valuation!C14+Valuation!D13/(1+$A9)^Valuation!D14+Valuation!E13/(1+$A9)^Valuation!E14+Valuation!F13/(1+$A9)^Valuation!F14+Valuation!G13/(1+$A9)^Valuation!G14+((Valuation!G10*(1+H$4)*(1-H$4/Drivers!$B$22))/($A9-H$4))/(1+$A9)^Valuation!$B$26+Drivers!$B$24+Drivers!$B$27+Drivers!$B$30+Valuation!$B$29-Drivers!$B$31-Drivers!$B$32)/'Share Bridge'!$B$11</x:f>
        <x:v>162.2005917092978</x:v>
      </x:c>
    </x:row>
    <x:row r="10">
      <x:c r="A10" s="15" t="n">
        <x:v>0.09813373967017408</x:v>
      </x:c>
      <x:c r="B10" s="31" t="n">
        <x:f>(Valuation!B13/(1+$A10)^Valuation!B14+Valuation!C13/(1+$A10)^Valuation!C14+Valuation!D13/(1+$A10)^Valuation!D14+Valuation!E13/(1+$A10)^Valuation!E14+Valuation!F13/(1+$A10)^Valuation!F14+Valuation!G13/(1+$A10)^Valuation!G14+((Valuation!G10*(1+B$4)*(1-B$4/Drivers!$B$22))/($A10-B$4))/(1+$A10)^Valuation!$B$26+Drivers!$B$24+Drivers!$B$27+Drivers!$B$30+Valuation!$B$29-Drivers!$B$31-Drivers!$B$32)/'Share Bridge'!$B$11</x:f>
        <x:v>113.52688877517434</x:v>
      </x:c>
      <x:c r="C10" s="31" t="n">
        <x:f>(Valuation!B13/(1+$A10)^Valuation!B14+Valuation!C13/(1+$A10)^Valuation!C14+Valuation!D13/(1+$A10)^Valuation!D14+Valuation!E13/(1+$A10)^Valuation!E14+Valuation!F13/(1+$A10)^Valuation!F14+Valuation!G13/(1+$A10)^Valuation!G14+((Valuation!G10*(1+C$4)*(1-C$4/Drivers!$B$22))/($A10-C$4))/(1+$A10)^Valuation!$B$26+Drivers!$B$24+Drivers!$B$27+Drivers!$B$30+Valuation!$B$29-Drivers!$B$31-Drivers!$B$32)/'Share Bridge'!$B$11</x:f>
        <x:v>117.02967218095179</x:v>
      </x:c>
      <x:c r="D10" s="31" t="n">
        <x:f>(Valuation!B13/(1+$A10)^Valuation!B14+Valuation!C13/(1+$A10)^Valuation!C14+Valuation!D13/(1+$A10)^Valuation!D14+Valuation!E13/(1+$A10)^Valuation!E14+Valuation!F13/(1+$A10)^Valuation!F14+Valuation!G13/(1+$A10)^Valuation!G14+((Valuation!G10*(1+D$4)*(1-D$4/Drivers!$B$22))/($A10-D$4))/(1+$A10)^Valuation!$B$26+Drivers!$B$24+Drivers!$B$27+Drivers!$B$30+Valuation!$B$29-Drivers!$B$31-Drivers!$B$32)/'Share Bridge'!$B$11</x:f>
        <x:v>121.0158351949386</x:v>
      </x:c>
      <x:c r="E10" s="31" t="n">
        <x:f>(Valuation!B13/(1+$A10)^Valuation!B14+Valuation!C13/(1+$A10)^Valuation!C14+Valuation!D13/(1+$A10)^Valuation!D14+Valuation!E13/(1+$A10)^Valuation!E14+Valuation!F13/(1+$A10)^Valuation!F14+Valuation!G13/(1+$A10)^Valuation!G14+((Valuation!G10*(1+E$4)*(1-E$4/Drivers!$B$22))/($A10-E$4))/(1+$A10)^Valuation!$B$26+Drivers!$B$24+Drivers!$B$27+Drivers!$B$30+Valuation!$B$29-Drivers!$B$31-Drivers!$B$32)/'Share Bridge'!$B$11</x:f>
        <x:v>125.6002243977589</x:v>
      </x:c>
      <x:c r="F10" s="31" t="n">
        <x:f>(Valuation!B13/(1+$A10)^Valuation!B14+Valuation!C13/(1+$A10)^Valuation!C14+Valuation!D13/(1+$A10)^Valuation!D14+Valuation!E13/(1+$A10)^Valuation!E14+Valuation!F13/(1+$A10)^Valuation!F14+Valuation!G13/(1+$A10)^Valuation!G14+((Valuation!G10*(1+F$4)*(1-F$4/Drivers!$B$22))/($A10-F$4))/(1+$A10)^Valuation!$B$26+Drivers!$B$24+Drivers!$B$27+Drivers!$B$30+Valuation!$B$29-Drivers!$B$31-Drivers!$B$32)/'Share Bridge'!$B$11</x:f>
        <x:v>130.9371975321524</x:v>
      </x:c>
      <x:c r="G10" s="31" t="n">
        <x:f>(Valuation!B13/(1+$A10)^Valuation!B14+Valuation!C13/(1+$A10)^Valuation!C14+Valuation!D13/(1+$A10)^Valuation!D14+Valuation!E13/(1+$A10)^Valuation!E14+Valuation!F13/(1+$A10)^Valuation!F14+Valuation!G13/(1+$A10)^Valuation!G14+((Valuation!G10*(1+G$4)*(1-G$4/Drivers!$B$22))/($A10-G$4))/(1+$A10)^Valuation!$B$26+Drivers!$B$24+Drivers!$B$27+Drivers!$B$30+Valuation!$B$29-Drivers!$B$31-Drivers!$B$32)/'Share Bridge'!$B$11</x:f>
        <x:v>137.23921393269015</x:v>
      </x:c>
      <x:c r="H10" s="31" t="n">
        <x:f>(Valuation!B13/(1+$A10)^Valuation!B14+Valuation!C13/(1+$A10)^Valuation!C14+Valuation!D13/(1+$A10)^Valuation!D14+Valuation!E13/(1+$A10)^Valuation!E14+Valuation!F13/(1+$A10)^Valuation!F14+Valuation!G13/(1+$A10)^Valuation!G14+((Valuation!G10*(1+H$4)*(1-H$4/Drivers!$B$22))/($A10-H$4))/(1+$A10)^Valuation!$B$26+Drivers!$B$24+Drivers!$B$27+Drivers!$B$30+Valuation!$B$29-Drivers!$B$31-Drivers!$B$32)/'Share Bridge'!$B$11</x:f>
        <x:v>144.80701169060208</x:v>
      </x:c>
    </x:row>
    <x:row r="11">
      <x:c r="A11" s="15" t="n">
        <x:v>0.1031337396701741</x:v>
      </x:c>
      <x:c r="B11" s="31" t="n">
        <x:f>(Valuation!B13/(1+$A11)^Valuation!B14+Valuation!C13/(1+$A11)^Valuation!C14+Valuation!D13/(1+$A11)^Valuation!D14+Valuation!E13/(1+$A11)^Valuation!E14+Valuation!F13/(1+$A11)^Valuation!F14+Valuation!G13/(1+$A11)^Valuation!G14+((Valuation!G10*(1+B$4)*(1-B$4/Drivers!$B$22))/($A11-B$4))/(1+$A11)^Valuation!$B$26+Drivers!$B$24+Drivers!$B$27+Drivers!$B$30+Valuation!$B$29-Drivers!$B$31-Drivers!$B$32)/'Share Bridge'!$B$11</x:f>
        <x:v>105.95857160660765</x:v>
      </x:c>
      <x:c r="C11" s="31" t="n">
        <x:f>(Valuation!B13/(1+$A11)^Valuation!B14+Valuation!C13/(1+$A11)^Valuation!C14+Valuation!D13/(1+$A11)^Valuation!D14+Valuation!E13/(1+$A11)^Valuation!E14+Valuation!F13/(1+$A11)^Valuation!F14+Valuation!G13/(1+$A11)^Valuation!G14+((Valuation!G10*(1+C$4)*(1-C$4/Drivers!$B$22))/($A11-C$4))/(1+$A11)^Valuation!$B$26+Drivers!$B$24+Drivers!$B$27+Drivers!$B$30+Valuation!$B$29-Drivers!$B$31-Drivers!$B$32)/'Share Bridge'!$B$11</x:f>
        <x:v>108.8293319776528</x:v>
      </x:c>
      <x:c r="D11" s="31" t="n">
        <x:f>(Valuation!B13/(1+$A11)^Valuation!B14+Valuation!C13/(1+$A11)^Valuation!C14+Valuation!D13/(1+$A11)^Valuation!D14+Valuation!E13/(1+$A11)^Valuation!E14+Valuation!F13/(1+$A11)^Valuation!F14+Valuation!G13/(1+$A11)^Valuation!G14+((Valuation!G10*(1+D$4)*(1-D$4/Drivers!$B$22))/($A11-D$4))/(1+$A11)^Valuation!$B$26+Drivers!$B$24+Drivers!$B$27+Drivers!$B$30+Valuation!$B$29-Drivers!$B$31-Drivers!$B$32)/'Share Bridge'!$B$11</x:f>
        <x:v>112.06469777851702</x:v>
      </x:c>
      <x:c r="E11" s="31" t="n">
        <x:f>(Valuation!B13/(1+$A11)^Valuation!B14+Valuation!C13/(1+$A11)^Valuation!C14+Valuation!D13/(1+$A11)^Valuation!D14+Valuation!E13/(1+$A11)^Valuation!E14+Valuation!F13/(1+$A11)^Valuation!F14+Valuation!G13/(1+$A11)^Valuation!G14+((Valuation!G10*(1+E$4)*(1-E$4/Drivers!$B$22))/($A11-E$4))/(1+$A11)^Valuation!$B$26+Drivers!$B$24+Drivers!$B$27+Drivers!$B$30+Valuation!$B$29-Drivers!$B$31-Drivers!$B$32)/'Share Bridge'!$B$11</x:f>
        <x:v>115.74493880612853</x:v>
      </x:c>
      <x:c r="F11" s="31" t="n">
        <x:f>(Valuation!B13/(1+$A11)^Valuation!B14+Valuation!C13/(1+$A11)^Valuation!C14+Valuation!D13/(1+$A11)^Valuation!D14+Valuation!E13/(1+$A11)^Valuation!E14+Valuation!F13/(1+$A11)^Valuation!F14+Valuation!G13/(1+$A11)^Valuation!G14+((Valuation!G10*(1+F$4)*(1-F$4/Drivers!$B$22))/($A11-F$4))/(1+$A11)^Valuation!$B$26+Drivers!$B$24+Drivers!$B$27+Drivers!$B$30+Valuation!$B$29-Drivers!$B$31-Drivers!$B$32)/'Share Bridge'!$B$11</x:f>
        <x:v>119.97575335170335</x:v>
      </x:c>
      <x:c r="G11" s="31" t="n">
        <x:f>(Valuation!B13/(1+$A11)^Valuation!B14+Valuation!C13/(1+$A11)^Valuation!C14+Valuation!D13/(1+$A11)^Valuation!D14+Valuation!E13/(1+$A11)^Valuation!E14+Valuation!F13/(1+$A11)^Valuation!F14+Valuation!G13/(1+$A11)^Valuation!G14+((Valuation!G10*(1+G$4)*(1-G$4/Drivers!$B$22))/($A11-G$4))/(1+$A11)^Valuation!$B$26+Drivers!$B$24+Drivers!$B$27+Drivers!$B$30+Valuation!$B$29-Drivers!$B$31-Drivers!$B$32)/'Share Bridge'!$B$11</x:f>
        <x:v>124.8992035432983</x:v>
      </x:c>
      <x:c r="H11" s="31" t="n">
        <x:f>(Valuation!B13/(1+$A11)^Valuation!B14+Valuation!C13/(1+$A11)^Valuation!C14+Valuation!D13/(1+$A11)^Valuation!D14+Valuation!E13/(1+$A11)^Valuation!E14+Valuation!F13/(1+$A11)^Valuation!F14+Valuation!G13/(1+$A11)^Valuation!G14+((Valuation!G10*(1+H$4)*(1-H$4/Drivers!$B$22))/($A11-H$4))/(1+$A11)^Valuation!$B$26+Drivers!$B$24+Drivers!$B$27+Drivers!$B$30+Valuation!$B$29-Drivers!$B$31-Drivers!$B$32)/'Share Bridge'!$B$11</x:f>
        <x:v>130.7108249248972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38" customWidth="1"/>
    <x:col min="2" max="2" width="20" customWidth="1"/>
    <x:col min="3" max="3" width="18" customWidth="1"/>
    <x:col min="4" max="4" width="18" customWidth="1"/>
    <x:col min="5" max="5" width="56" customWidth="1"/>
  </x:cols>
  <x:sheetData>
    <x:row r="1">
      <x:c r="A1" s="1" t="inlineStr">
        <x:is>
          <x:t xml:space="preserve">Decision and implementation gate</x:t>
        </x:is>
      </x:c>
      <x:c r="B1" s="2" t="n"/>
      <x:c r="C1" s="2" t="n"/>
      <x:c r="D1" s="2" t="n"/>
      <x:c r="E1" s="2" t="n"/>
    </x:row>
    <x:row r="2">
      <x:c r="A2" s="3" t="inlineStr">
        <x:is>
          <x:t xml:space="preserve">No percentage recommendation without borrow, hedge, crowding and portfolio constraints.</x:t>
        </x:is>
      </x:c>
      <x:c r="B2" s="2" t="n"/>
      <x:c r="C2" s="2" t="n"/>
      <x:c r="D2" s="2" t="n"/>
      <x:c r="E2" s="2" t="n"/>
    </x:row>
    <x:row r="3">
      <x:c r="A3" s="2" t="n"/>
      <x:c r="B3" s="2" t="n"/>
      <x:c r="C3" s="2" t="n"/>
      <x:c r="D3" s="2" t="n"/>
      <x:c r="E3" s="2" t="n"/>
    </x:row>
    <x:row r="4">
      <x:c r="A4" s="11" t="inlineStr">
        <x:is>
          <x:t xml:space="preserve">Case</x:t>
        </x:is>
      </x:c>
      <x:c r="B4" s="12" t="inlineStr">
        <x:is>
          <x:t xml:space="preserve">Target</x:t>
        </x:is>
      </x:c>
      <x:c r="C4" s="12" t="inlineStr">
        <x:is>
          <x:t xml:space="preserve">Probability</x:t>
        </x:is>
      </x:c>
      <x:c r="D4" s="12" t="inlineStr">
        <x:is>
          <x:t xml:space="preserve">vs spot</x:t>
        </x:is>
      </x:c>
      <x:c r="E4" s="12" t="inlineStr">
        <x:is>
          <x:t xml:space="preserve">Basis</x:t>
        </x:is>
      </x:c>
    </x:row>
    <x:row r="5">
      <x:c r="A5" s="2" t="str">
        <x:f>Scenarios!A5</x:f>
        <x:v>Stock bear / short works</x:v>
      </x:c>
      <x:c r="B5" s="31" t="n">
        <x:f>Scenarios!G5</x:f>
        <x:v>273.9067524824866</x:v>
      </x:c>
      <x:c r="C5" s="24" t="n">
        <x:f>Scenarios!B5</x:f>
        <x:v>0.25</x:v>
      </x:c>
      <x:c r="D5" s="24" t="n">
        <x:f>B5/Drivers!B14-1</x:f>
        <x:v>-0.22677633106795791</x:v>
      </x:c>
      <x:c r="E5" s="2" t="str">
        <x:f>Scenarios!H5</x:f>
        <x:v>D&amp;A reaches or exceeds path; EBITDA offsets &lt;50%; multiple compresses.</x:v>
      </x:c>
    </x:row>
    <x:row r="6">
      <x:c r="A6" s="2" t="str">
        <x:f>Scenarios!A6</x:f>
        <x:v>Base / wait</x:v>
      </x:c>
      <x:c r="B6" s="31" t="n">
        <x:f>Scenarios!G6</x:f>
        <x:v>334.6802460052357</x:v>
      </x:c>
      <x:c r="C6" s="24" t="n">
        <x:f>Scenarios!B6</x:f>
        <x:v>0.5</x:v>
      </x:c>
      <x:c r="D6" s="24" t="n">
        <x:f>B6/Drivers!B14-1</x:f>
        <x:v>-0.05521610770879726</x:v>
      </x:c>
      <x:c r="E6" s="2" t="str">
        <x:f>Scenarios!H6</x:f>
        <x:v>D&amp;A rises, but most of the charge is absorbed; catalyst is insufficient.</x:v>
      </x:c>
    </x:row>
    <x:row r="7">
      <x:c r="A7" s="2" t="str">
        <x:f>Scenarios!A7</x:f>
        <x:v>Stock bull / short loses</x:v>
      </x:c>
      <x:c r="B7" s="31" t="n">
        <x:f>Scenarios!G7</x:f>
        <x:v>398.4085210511369</x:v>
      </x:c>
      <x:c r="C7" s="24" t="n">
        <x:f>Scenarios!B7</x:f>
        <x:v>0.25</x:v>
      </x:c>
      <x:c r="D7" s="24" t="n">
        <x:f>B7/Drivers!B14-1</x:f>
        <x:v>0.12468530107028264</x:v>
      </x:c>
      <x:c r="E7" s="2" t="str">
        <x:f>Scenarios!H7</x:f>
        <x:v>Commissioning is slower and EBITDA more than offsets the D&amp;A surprise.</x:v>
      </x:c>
    </x:row>
    <x:row r="8">
      <x:c r="A8" s="4" t="inlineStr">
        <x:is>
          <x:t xml:space="preserve">Probability-weighted value</x:t>
        </x:is>
      </x:c>
      <x:c r="B8" s="7" t="n">
        <x:f>SUMPRODUCT(B5:B7,C5:C7)</x:f>
        <x:v>335.41894138602373</x:v>
      </x:c>
      <x:c r="C8" s="24" t="n">
        <x:f>SUM(C5:C7)</x:f>
        <x:v>1</x:v>
      </x:c>
      <x:c r="D8" s="24" t="n">
        <x:f>B8/Drivers!B14-1</x:f>
        <x:v>-0.053130811353817364</x:v>
      </x:c>
      <x:c r="E8" s="2" t="n"/>
    </x:row>
    <x:row r="9">
      <x:c r="A9" s="2" t="n"/>
      <x:c r="B9" s="2" t="n"/>
      <x:c r="C9" s="2" t="n"/>
      <x:c r="D9" s="2" t="n"/>
      <x:c r="E9" s="2" t="n"/>
    </x:row>
    <x:row r="10">
      <x:c r="A10" s="2" t="inlineStr">
        <x:is>
          <x:t xml:space="preserve">Current stance</x:t>
        </x:is>
      </x:c>
      <x:c r="B10" s="2" t="inlineStr">
        <x:is>
          <x:t xml:space="preserve">WAIT FOR PROOF / NO POSITION</x:t>
        </x:is>
      </x:c>
      <x:c r="C10" s="2" t="n"/>
      <x:c r="D10" s="2" t="n"/>
      <x:c r="E10" s="2" t="n"/>
    </x:row>
    <x:row r="11">
      <x:c r="A11" s="2" t="inlineStr">
        <x:is>
          <x:t xml:space="preserve">Current size</x:t>
        </x:is>
      </x:c>
      <x:c r="B11" s="5" t="n">
        <x:v>0</x:v>
      </x:c>
      <x:c r="C11" s="2" t="n"/>
      <x:c r="D11" s="2" t="n"/>
      <x:c r="E11" s="2" t="n"/>
    </x:row>
    <x:row r="12">
      <x:c r="A12" s="2" t="n"/>
      <x:c r="B12" s="2" t="n"/>
      <x:c r="C12" s="2" t="n"/>
      <x:c r="D12" s="2" t="n"/>
      <x:c r="E12" s="2" t="n"/>
    </x:row>
    <x:row r="13">
      <x:c r="A13" s="1" t="inlineStr">
        <x:is>
          <x:t xml:space="preserve">Implementation gates</x:t>
        </x:is>
      </x:c>
      <x:c r="B13" s="2" t="n"/>
      <x:c r="C13" s="2" t="n"/>
      <x:c r="D13" s="2" t="n"/>
      <x:c r="E13" s="2" t="n"/>
    </x:row>
    <x:row r="14">
      <x:c r="A14" s="11" t="inlineStr">
        <x:is>
          <x:t xml:space="preserve">Gate</x:t>
        </x:is>
      </x:c>
      <x:c r="B14" s="12" t="inlineStr">
        <x:is>
          <x:t xml:space="preserve">Status</x:t>
        </x:is>
      </x:c>
      <x:c r="C14" s="12" t="inlineStr">
        <x:is>
          <x:t xml:space="preserve">Missing evidence</x:t>
        </x:is>
      </x:c>
      <x:c r="D14" s="12" t="inlineStr">
        <x:is>
          <x:t xml:space="preserve"/>
        </x:is>
      </x:c>
      <x:c r="E14" s="12" t="inlineStr">
        <x:is>
          <x:t xml:space="preserve"/>
        </x:is>
      </x:c>
    </x:row>
    <x:row r="15">
      <x:c r="A15" s="2" t="inlineStr">
        <x:is>
          <x:t xml:space="preserve">Catalyst / revision</x:t>
        </x:is>
      </x:c>
      <x:c r="B15" s="2" t="inlineStr">
        <x:is>
          <x:t xml:space="preserve">NOT CLEARED</x:t>
        </x:is>
      </x:c>
      <x:c r="C15" s="10" t="inlineStr">
        <x:is>
          <x:t xml:space="preserve">No observed FY2027 EPS cuts from reported D&amp;A.</x:t>
        </x:is>
      </x:c>
      <x:c r="D15" s="2" t="n"/>
      <x:c r="E15" s="2" t="n"/>
    </x:row>
    <x:row r="16">
      <x:c r="A16" s="2" t="inlineStr">
        <x:is>
          <x:t xml:space="preserve">Valuation</x:t>
        </x:is>
      </x:c>
      <x:c r="B16" s="2" t="inlineStr">
        <x:is>
          <x:t xml:space="preserve">NOT CLEARED</x:t>
        </x:is>
      </x:c>
      <x:c r="C16" s="10" t="inlineStr">
        <x:is>
          <x:t xml:space="preserve">Scenario target needs both an EPS cut and a lower multiple.</x:t>
        </x:is>
      </x:c>
      <x:c r="D16" s="2" t="n"/>
      <x:c r="E16" s="2" t="n"/>
    </x:row>
    <x:row r="17">
      <x:c r="A17" s="2" t="inlineStr">
        <x:is>
          <x:t xml:space="preserve">Borrow / carry</x:t>
        </x:is>
      </x:c>
      <x:c r="B17" s="2" t="inlineStr">
        <x:is>
          <x:t xml:space="preserve">MISSING</x:t>
        </x:is>
      </x:c>
      <x:c r="C17" s="10" t="inlineStr">
        <x:is>
          <x:t xml:space="preserve">Locate, availability, fee/rebate, utilization, recall and dividend carry.</x:t>
        </x:is>
      </x:c>
      <x:c r="D17" s="2" t="n"/>
      <x:c r="E17" s="2" t="n"/>
    </x:row>
    <x:row r="18">
      <x:c r="A18" s="2" t="inlineStr">
        <x:is>
          <x:t xml:space="preserve">Crowding / squeeze</x:t>
        </x:is>
      </x:c>
      <x:c r="B18" s="2" t="inlineStr">
        <x:is>
          <x:t xml:space="preserve">MISSING</x:t>
        </x:is>
      </x:c>
      <x:c r="C18" s="10" t="inlineStr">
        <x:is>
          <x:t xml:space="preserve">Short interest, days-to-cover, ownership and buyback execution.</x:t>
        </x:is>
      </x:c>
      <x:c r="D18" s="2" t="n"/>
      <x:c r="E18" s="2" t="n"/>
    </x:row>
    <x:row r="19">
      <x:c r="A19" s="2" t="inlineStr">
        <x:is>
          <x:t xml:space="preserve">Options</x:t>
        </x:is>
      </x:c>
      <x:c r="B19" s="2" t="inlineStr">
        <x:is>
          <x:t xml:space="preserve">MISSING</x:t>
        </x:is>
      </x:c>
      <x:c r="C19" s="10" t="inlineStr">
        <x:is>
          <x:t xml:space="preserve">Expiry, strikes, bid/ask, IV/skew, Greeks, OI, theta and max loss.</x:t>
        </x:is>
      </x:c>
      <x:c r="D19" s="2" t="n"/>
      <x:c r="E19" s="2" t="n"/>
    </x:row>
    <x:row r="20">
      <x:c r="A20" s="2" t="inlineStr">
        <x:is>
          <x:t xml:space="preserve">Hedge</x:t>
        </x:is>
      </x:c>
      <x:c r="B20" s="2" t="inlineStr">
        <x:is>
          <x:t xml:space="preserve">MISSING</x:t>
        </x:is>
      </x:c>
      <x:c r="C20" s="10" t="inlineStr">
        <x:is>
          <x:t xml:space="preserve">Alpha definition, factor map, hedge candidate/ratio and basis-risk failure case.</x:t>
        </x:is>
      </x:c>
      <x:c r="D20" s="2" t="n"/>
      <x:c r="E20" s="2" t="n"/>
    </x:row>
    <x:row r="21">
      <x:c r="A21" s="2" t="inlineStr">
        <x:is>
          <x:t xml:space="preserve">ADV / exit</x:t>
        </x:is>
      </x:c>
      <x:c r="B21" s="2" t="inlineStr">
        <x:is>
          <x:t xml:space="preserve">PRELIMINARY</x:t>
        </x:is>
      </x:c>
      <x:c r="C21" s="10" t="inlineStr">
        <x:is>
          <x:t xml:space="preserve">30-day GOOGL ADV observed; portfolio size and stressed exit plan absent.</x:t>
        </x:is>
      </x:c>
      <x:c r="D21" s="2" t="n"/>
      <x:c r="E21" s="2" t="n"/>
    </x:row>
    <x:row r="22">
      <x:c r="A22" s="2" t="n"/>
      <x:c r="B22" s="2" t="n"/>
      <x:c r="C22" s="2" t="n"/>
      <x:c r="D22" s="2" t="n"/>
      <x:c r="E22" s="2" t="n"/>
    </x:row>
    <x:row r="23">
      <x:c r="A23" s="2" t="n"/>
      <x:c r="B23" s="2" t="n"/>
      <x:c r="C23" s="2" t="n"/>
      <x:c r="D23" s="2" t="n"/>
      <x:c r="E23" s="2" t="n"/>
    </x:row>
    <x:row r="24">
      <x:c r="A24" s="1" t="inlineStr">
        <x:is>
          <x:t xml:space="preserve">Conditional action rules</x:t>
        </x:is>
      </x:c>
      <x:c r="B24" s="2" t="n"/>
      <x:c r="C24" s="2" t="n"/>
      <x:c r="D24" s="2" t="n"/>
      <x:c r="E24" s="2" t="n"/>
    </x:row>
    <x:row r="25">
      <x:c r="A25" s="4" t="inlineStr">
        <x:is>
          <x:t xml:space="preserve">Initiate starter only if</x:t>
        </x:is>
      </x:c>
      <x:c r="B25" s="10" t="inlineStr">
        <x:is>
          <x:t xml:space="preserve">Actual D&amp;A reaches/exceeds the frozen path; EBITDA offsets &lt;50% of the surprise; FY2027 consensus EPS falls at least 5% within 10 trading days; net downside remains at least 20%; every implementation gate clears.</x:t>
        </x:is>
      </x:c>
      <x:c r="C25" s="2" t="n"/>
      <x:c r="D25" s="2" t="n"/>
      <x:c r="E25" s="2" t="n"/>
    </x:row>
    <x:row r="26">
      <x:c r="A26" s="4" t="inlineStr">
        <x:is>
          <x:t xml:space="preserve">Add</x:t>
        </x:is>
      </x:c>
      <x:c r="B26" s="10" t="inlineStr">
        <x:is>
          <x:t xml:space="preserve">A second consecutive print confirms the bridge, cumulative FY2027 EPS cuts reach at least 10%, and downside remains at least 2x defined stress loss.</x:t>
        </x:is>
      </x:c>
      <x:c r="C26" s="2" t="n"/>
      <x:c r="D26" s="2" t="n"/>
      <x:c r="E26" s="2" t="n"/>
    </x:row>
    <x:row r="27">
      <x:c r="A27" s="4" t="inlineStr">
        <x:is>
          <x:t xml:space="preserve">Stand down / cover</x:t>
        </x:is>
      </x:c>
      <x:c r="B27" s="10" t="inlineStr">
        <x:is>
          <x:t xml:space="preserve">Two prints show D&amp;A below model, EBITDA fully offsets the charge, FY2027 EPS is flat/up through Q1 2027, useful lives or commissioning materially defer D&amp;A, or the catalyst window expires.</x:t>
        </x:is>
      </x:c>
      <x:c r="C27" s="2" t="n"/>
      <x:c r="D27" s="2" t="n"/>
      <x:c r="E27" s="2" t="n"/>
    </x:row>
    <x:row r="28">
      <x:c r="A28" s="4" t="inlineStr">
        <x:is>
          <x:t xml:space="preserve">Implementation trim / cover</x:t>
        </x:is>
      </x:c>
      <x:c r="B28" s="10" t="inlineStr">
        <x:is>
          <x:t xml:space="preserve">Carry consumes more than 25% of expected gross alpha, borrow/recall worsens, squeeze risk changes materially, or the target gap closes.</x:t>
        </x:is>
      </x:c>
      <x:c r="C28" s="2" t="n"/>
      <x:c r="D28" s="2" t="n"/>
      <x:c r="E28" s="2" t="n"/>
    </x:row>
    <x:row r="29">
      <x:c r="A29" s="4" t="inlineStr">
        <x:is>
          <x:t xml:space="preserve">Hedge / resize</x:t>
        </x:is>
      </x:c>
      <x:c r="B29" s="10" t="inlineStr">
        <x:is>
          <x:t xml:space="preserve">The exposure becomes primarily mega-cap technology beta, rates/duration, or the AI factor instead of D&amp;A revision alpha.</x:t>
        </x:is>
      </x:c>
      <x:c r="C29" s="2" t="n"/>
      <x:c r="D29" s="2" t="n"/>
      <x:c r="E29" s="2" t="n"/>
    </x:row>
  </x:sheetData>
  <x:mergeCells>
    <x:mergeCell ref="C16:E16"/>
    <x:mergeCell ref="B26:E26"/>
    <x:mergeCell ref="B27:E27"/>
    <x:mergeCell ref="C19:E19"/>
    <x:mergeCell ref="B28:E28"/>
    <x:mergeCell ref="C18:E18"/>
    <x:mergeCell ref="B29:E29"/>
    <x:mergeCell ref="C17:E17"/>
    <x:mergeCell ref="B25:E25"/>
    <x:mergeCell ref="C21:E21"/>
    <x:mergeCell ref="C20:E20"/>
    <x:mergeCell ref="C15:E15"/>
  </x:mergeCells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42" customWidth="1"/>
    <x:col min="2" max="2" width="18" customWidth="1"/>
    <x:col min="3" max="3" width="66" customWidth="1"/>
  </x:cols>
  <x:sheetData>
    <x:row r="1">
      <x:c r="A1" s="1" t="inlineStr">
        <x:is>
          <x:t xml:space="preserve">Blocking checks</x:t>
        </x:is>
      </x:c>
      <x:c r="B1" s="2" t="n"/>
      <x:c r="C1" s="2" t="n"/>
    </x:row>
    <x:row r="2">
      <x:c r="A2" s="3" t="inlineStr">
        <x:is>
          <x:t xml:space="preserve">A FAIL blocks circulation. Trade implementation can remain open while calculation integrity passes.</x:t>
        </x:is>
      </x:c>
      <x:c r="B2" s="2" t="n"/>
      <x:c r="C2" s="2" t="n"/>
    </x:row>
    <x:row r="3">
      <x:c r="A3" s="2" t="inlineStr">
        <x:is>
          <x:t xml:space="preserve">Calculation integrity</x:t>
        </x:is>
      </x:c>
      <x:c r="B3" s="32" t="str">
        <x:f>IF(COUNTIF(B6:B15,"FAIL")=0,"PASS","FAIL")</x:f>
        <x:v>PASS</x:v>
      </x:c>
      <x:c r="C3" s="2" t="n"/>
    </x:row>
    <x:row r="4">
      <x:c r="A4" s="2" t="n"/>
      <x:c r="B4" s="2" t="n"/>
      <x:c r="C4" s="2" t="n"/>
    </x:row>
    <x:row r="5">
      <x:c r="A5" s="11" t="inlineStr">
        <x:is>
          <x:t xml:space="preserve">Check</x:t>
        </x:is>
      </x:c>
      <x:c r="B5" s="12" t="inlineStr">
        <x:is>
          <x:t xml:space="preserve">Status</x:t>
        </x:is>
      </x:c>
      <x:c r="C5" s="12" t="inlineStr">
        <x:is>
          <x:t xml:space="preserve">Detail</x:t>
        </x:is>
      </x:c>
    </x:row>
    <x:row r="6">
      <x:c r="A6" s="2" t="inlineStr">
        <x:is>
          <x:t xml:space="preserve">No pre-valuation FCFF in DCF</x:t>
        </x:is>
      </x:c>
      <x:c r="B6" s="32" t="inlineStr">
        <x:is>
          <x:t xml:space="preserve">PASS</x:t>
        </x:is>
      </x:c>
      <x:c r="C6" s="10" t="inlineStr">
        <x:is>
          <x:t xml:space="preserve">DCF begins 2026-08-08</x:t>
        </x:is>
      </x:c>
    </x:row>
    <x:row r="7">
      <x:c r="A7" s="2" t="inlineStr">
        <x:is>
          <x:t xml:space="preserve">WACC less g &gt;= 150bp</x:t>
        </x:is>
      </x:c>
      <x:c r="B7" s="32" t="inlineStr">
        <x:is>
          <x:t xml:space="preserve">PASS</x:t>
        </x:is>
      </x:c>
      <x:c r="C7" s="10" t="inlineStr">
        <x:is>
          <x:t xml:space="preserve">5.81%</x:t>
        </x:is>
      </x:c>
    </x:row>
    <x:row r="8">
      <x:c r="A8" s="2" t="inlineStr">
        <x:is>
          <x:t xml:space="preserve">Terminal ROIC exceeds g</x:t>
        </x:is>
      </x:c>
      <x:c r="B8" s="32" t="inlineStr">
        <x:is>
          <x:t xml:space="preserve">PASS</x:t>
        </x:is>
      </x:c>
      <x:c r="C8" s="10" t="inlineStr">
        <x:is>
          <x:t xml:space="preserve">18.0% vs 3.0%</x:t>
        </x:is>
      </x:c>
    </x:row>
    <x:row r="9">
      <x:c r="A9" s="2" t="inlineStr">
        <x:is>
          <x:t xml:space="preserve">Terminal reinvestment is 0-100%</x:t>
        </x:is>
      </x:c>
      <x:c r="B9" s="32" t="inlineStr">
        <x:is>
          <x:t xml:space="preserve">PASS</x:t>
        </x:is>
      </x:c>
      <x:c r="C9" s="10" t="inlineStr">
        <x:is>
          <x:t xml:space="preserve">16.7%</x:t>
        </x:is>
      </x:c>
    </x:row>
    <x:row r="10">
      <x:c r="A10" s="2" t="inlineStr">
        <x:is>
          <x:t xml:space="preserve">Scenario probabilities sum to 100%</x:t>
        </x:is>
      </x:c>
      <x:c r="B10" s="32" t="inlineStr">
        <x:is>
          <x:t xml:space="preserve">PASS</x:t>
        </x:is>
      </x:c>
      <x:c r="C10" s="10" t="inlineStr">
        <x:is>
          <x:t xml:space="preserve">100.0%</x:t>
        </x:is>
      </x:c>
    </x:row>
    <x:row r="11">
      <x:c r="A11" s="2" t="inlineStr">
        <x:is>
          <x:t xml:space="preserve">Preferred not double counted</x:t>
        </x:is>
      </x:c>
      <x:c r="B11" s="32" t="inlineStr">
        <x:is>
          <x:t xml:space="preserve">PASS</x:t>
        </x:is>
      </x:c>
      <x:c r="C11" s="10" t="inlineStr">
        <x:is>
          <x:t xml:space="preserve">if-converted: dilution included; preferred carrying value not deducted</x:t>
        </x:is>
      </x:c>
    </x:row>
    <x:row r="12">
      <x:c r="A12" s="2" t="inlineStr">
        <x:is>
          <x:t xml:space="preserve">FY2026 capex within guidance</x:t>
        </x:is>
      </x:c>
      <x:c r="B12" s="32" t="inlineStr">
        <x:is>
          <x:t xml:space="preserve">PASS</x:t>
        </x:is>
      </x:c>
      <x:c r="C12" s="10" t="inlineStr">
        <x:is>
          <x:t xml:space="preserve">$200bn</x:t>
        </x:is>
      </x:c>
    </x:row>
    <x:row r="13">
      <x:c r="A13" s="2" t="inlineStr">
        <x:is>
          <x:t xml:space="preserve">FY2027 capex increases significantly</x:t>
        </x:is>
      </x:c>
      <x:c r="B13" s="32" t="inlineStr">
        <x:is>
          <x:t xml:space="preserve">PASS</x:t>
        </x:is>
      </x:c>
      <x:c r="C13" s="10" t="inlineStr">
        <x:is>
          <x:t xml:space="preserve">15.0%</x:t>
        </x:is>
      </x:c>
    </x:row>
    <x:row r="14">
      <x:c r="A14" s="2" t="inlineStr">
        <x:is>
          <x:t xml:space="preserve">D&amp;A separated by vintage</x:t>
        </x:is>
      </x:c>
      <x:c r="B14" s="32" t="inlineStr">
        <x:is>
          <x:t xml:space="preserve">PASS</x:t>
        </x:is>
      </x:c>
      <x:c r="C14" s="10" t="inlineStr">
        <x:is>
          <x:t xml:space="preserve">legacy + forecast shown</x:t>
        </x:is>
      </x:c>
    </x:row>
    <x:row r="15">
      <x:c r="A15" s="2" t="inlineStr">
        <x:is>
          <x:t xml:space="preserve">Current position is zero</x:t>
        </x:is>
      </x:c>
      <x:c r="B15" s="32" t="inlineStr">
        <x:is>
          <x:t xml:space="preserve">PASS</x:t>
        </x:is>
      </x:c>
      <x:c r="C15" s="10" t="inlineStr">
        <x:is>
          <x:t xml:space="preserve">WAIT FOR PROOF / 0.0%</x:t>
        </x:is>
      </x:c>
    </x:row>
    <x:row r="16">
      <x:c r="A16" s="2" t="n"/>
      <x:c r="B16" s="2" t="n"/>
      <x:c r="C16" s="2" t="n"/>
    </x:row>
    <x:row r="17">
      <x:c r="A17" s="2" t="n"/>
      <x:c r="B17" s="2" t="n"/>
      <x:c r="C17" s="2" t="n"/>
    </x:row>
    <x:row r="18">
      <x:c r="A18" s="1" t="inlineStr">
        <x:is>
          <x:t xml:space="preserve">Warnings</x:t>
        </x:is>
      </x:c>
      <x:c r="B18" s="2" t="n"/>
      <x:c r="C18" s="2" t="n"/>
    </x:row>
    <x:row r="19">
      <x:c r="A19" s="2" t="inlineStr">
        <x:is>
          <x:t xml:space="preserve">Terminal value is 90% of EV; DCF is a sensitivity, not the initiation thesis.</x:t>
        </x:is>
      </x:c>
      <x:c r="B19" s="2" t="n"/>
      <x:c r="C19" s="2" t="n"/>
    </x:row>
    <x:row r="20">
      <x:c r="A20" s="2" t="inlineStr">
        <x:is>
          <x:t xml:space="preserve">Broker-level quarterly D&amp;A consensus and revision history are missing.</x:t>
        </x:is>
      </x:c>
      <x:c r="B20" s="2" t="n"/>
      <x:c r="C20" s="2" t="n"/>
    </x:row>
    <x:row r="21">
      <x:c r="A21" s="2" t="inlineStr">
        <x:is>
          <x:t xml:space="preserve">The $15.01 FMP FY2027 EPS conflicts with an independently cited $14.20-$14.68 range; neither is treated as canonical.</x:t>
        </x:is>
      </x:c>
      <x:c r="B21" s="2" t="n"/>
      <x:c r="C21" s="2" t="n"/>
    </x:row>
    <x:row r="22">
      <x:c r="A22" s="2" t="inlineStr">
        <x:is>
          <x:t xml:space="preserve">Opening-vintage D&amp;A is held at the Q2 run-rate through the explicit horizon because remaining lives by vintage are not disclosed.</x:t>
        </x:is>
      </x:c>
      <x:c r="B22" s="2" t="n"/>
      <x:c r="C22" s="2" t="n"/>
    </x:row>
  </x:sheetData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/>
  </x:sheetViews>
  <x:sheetFormatPr baseColWidth="8" defaultRowHeight="15"/>
  <x:cols>
    <x:col min="1" max="1" width="110" customWidth="1"/>
  </x:cols>
  <x:sheetData>
    <x:row r="1">
      <x:c r="A1" s="1" t="inlineStr">
        <x:is>
          <x:t xml:space="preserve">Method, limits, and circulation note</x:t>
        </x:is>
      </x:c>
    </x:row>
    <x:row r="2">
      <x:c r="A2" s="2" t="n"/>
    </x:row>
    <x:row r="3">
      <x:c r="A3" s="2" t="n"/>
    </x:row>
    <x:row r="4" ht="42" customHeight="1">
      <x:c r="A4" s="10" t="inlineStr">
        <x:is>
          <x:t xml:space="preserve">DECISION. WAIT FOR PROOF / NO POSITION. The package is ready for PM review as a monitoring thesis, not for capital deployment.</x:t>
        </x:is>
      </x:c>
    </x:row>
    <x:row r="5" ht="42" customHeight="1">
      <x:c r="A5" s="10" t="inlineStr">
        <x:is>
          <x:t xml:space="preserve">CAUSAL CHAIN. Capex -&gt; placed in service -&gt; GAAP D&amp;A -&gt; unoffset EBIT/EPS miss -&gt; consensus revisions -&gt; multiple response. A D&amp;A rise without a net EPS cut is not confirmation.</x:t>
        </x:is>
      </x:c>
    </x:row>
    <x:row r="6" ht="42" customHeight="1">
      <x:c r="A6" s="10" t="inlineStr">
        <x:is>
          <x:t xml:space="preserve">VALUATION DATE. June 30 balance-sheet facts are bridged to August 7 with an explicitly estimated July 1-August 7 FCFF. The DCF excludes H1 and discounts only August 8 onward.</x:t>
        </x:is>
      </x:c>
    </x:row>
    <x:row r="7" ht="42" customHeight="1">
      <x:c r="A7" s="10" t="inlineStr">
        <x:is>
          <x:t xml:space="preserve">TERMINAL VALUE. Next-period NOPAT is reduced by growth-required reinvestment (g / terminal ROIC) before the Gordon calculation.</x:t>
        </x:is>
      </x:c>
    </x:row>
    <x:row r="8" ht="42" customHeight="1">
      <x:c r="A8" s="10" t="inlineStr">
        <x:is>
          <x:t xml:space="preserve">SHARES. Point-in-time common shares plus ordinary dilution and minimum mandatory-convertible dilution. Preferred carrying value is not deducted again.</x:t>
        </x:is>
      </x:c>
    </x:row>
    <x:row r="9" ht="42" customHeight="1">
      <x:c r="A9" s="10" t="inlineStr">
        <x:is>
          <x:t xml:space="preserve">CONSENSUS. FMP is an aggregator snapshot, not a broker-level ledger. The independent EPS range conflict remains open; the variant is illustrative and cannot clear the catalyst gate.</x:t>
        </x:is>
      </x:c>
    </x:row>
    <x:row r="10" ht="42" customHeight="1">
      <x:c r="A10" s="10" t="inlineStr">
        <x:is>
          <x:t xml:space="preserve">IMPLEMENTATION. Borrow/carry, crowding/squeeze, options and hedge data are missing. Underlying liquidity alone cannot set size.</x:t>
        </x:is>
      </x:c>
    </x:row>
    <x:row r="11" ht="42" customHeight="1">
      <x:c r="A11" s="10" t="inlineStr">
        <x:is>
          <x:t xml:space="preserve">This is analytical research on public information, not investment advice, a recommendation, or a solicitation.</x:t>
        </x:is>
      </x:c>
    </x:row>
  </x:sheetData>
  <x:pageMargins left="0.7" right="0.7" top="0.75" bottom="0.75" header="0.3" footer="0.3"/>
</x:worksheet>
</file>